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 activeTab="1"/>
  </bookViews>
  <sheets>
    <sheet name="紹介文入力シート" sheetId="1" r:id="rId1"/>
    <sheet name="印字シート" sheetId="2" r:id="rId2"/>
  </sheets>
  <definedNames>
    <definedName name="_xlnm.Print_Area" localSheetId="1">印字シート!$B$1:$U$61</definedName>
    <definedName name="_xlnm.Print_Area" localSheetId="0">紹介文入力シート!$A$1:$AJ$48</definedName>
  </definedNames>
  <calcPr calcId="145621"/>
</workbook>
</file>

<file path=xl/calcChain.xml><?xml version="1.0" encoding="utf-8"?>
<calcChain xmlns="http://schemas.openxmlformats.org/spreadsheetml/2006/main">
  <c r="D11" i="2" l="1"/>
  <c r="B61" i="2" l="1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S16" i="2"/>
  <c r="Q16" i="2"/>
  <c r="D16" i="2"/>
  <c r="D15" i="2"/>
  <c r="AF36" i="1"/>
  <c r="N6" i="2"/>
  <c r="D8" i="2"/>
  <c r="L13" i="2"/>
  <c r="F14" i="2"/>
  <c r="D13" i="2"/>
  <c r="D12" i="2"/>
  <c r="L11" i="2"/>
  <c r="D10" i="2"/>
  <c r="D9" i="2"/>
  <c r="D7" i="2"/>
  <c r="D6" i="2"/>
  <c r="M5" i="2"/>
  <c r="AF27" i="1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T33" i="2"/>
  <c r="U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</calcChain>
</file>

<file path=xl/sharedStrings.xml><?xml version="1.0" encoding="utf-8"?>
<sst xmlns="http://schemas.openxmlformats.org/spreadsheetml/2006/main" count="86" uniqueCount="64">
  <si>
    <t>字数→</t>
    <rPh sb="0" eb="2">
      <t>じすう</t>
    </rPh>
    <phoneticPr fontId="1" type="Hiragana" alignment="distributed"/>
  </si>
  <si>
    <t>↓200字以内で</t>
    <rPh sb="4" eb="5">
      <t>じ</t>
    </rPh>
    <rPh sb="5" eb="7">
      <t>いない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</si>
  <si>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</si>
  <si>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</si>
  <si>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</si>
  <si>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</si>
  <si>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</si>
  <si>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</si>
  <si>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</si>
  <si>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</si>
  <si>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</si>
  <si>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</si>
  <si>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</si>
  <si>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</si>
  <si>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</si>
  <si>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</si>
  <si>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</si>
  <si>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4"/>
  </si>
  <si>
    <t>学校名</t>
    <rPh sb="0" eb="3">
      <t>ガッコウメイ</t>
    </rPh>
    <phoneticPr fontId="14"/>
  </si>
  <si>
    <t>学校所在地</t>
    <rPh sb="0" eb="2">
      <t>ガッコウ</t>
    </rPh>
    <rPh sb="2" eb="5">
      <t>ショザイチ</t>
    </rPh>
    <phoneticPr fontId="14"/>
  </si>
  <si>
    <t>〒</t>
    <phoneticPr fontId="14"/>
  </si>
  <si>
    <t>－</t>
    <phoneticPr fontId="14"/>
  </si>
  <si>
    <t>TEL</t>
    <phoneticPr fontId="14"/>
  </si>
  <si>
    <t>FAX</t>
    <phoneticPr fontId="14"/>
  </si>
  <si>
    <t>緊急時連絡先(携帯電話等)</t>
    <rPh sb="0" eb="2">
      <t>キンキュウ</t>
    </rPh>
    <rPh sb="2" eb="3">
      <t>ジ</t>
    </rPh>
    <rPh sb="3" eb="6">
      <t>レンラクサキ</t>
    </rPh>
    <rPh sb="7" eb="9">
      <t>ケイタイ</t>
    </rPh>
    <rPh sb="9" eb="11">
      <t>デンワ</t>
    </rPh>
    <rPh sb="11" eb="12">
      <t>ナド</t>
    </rPh>
    <phoneticPr fontId="14"/>
  </si>
  <si>
    <t>E-mail</t>
    <phoneticPr fontId="14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</si>
  <si>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</si>
  <si>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</si>
  <si>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</si>
  <si>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</si>
  <si>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</si>
  <si>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</si>
  <si>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</si>
  <si>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</si>
  <si>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</si>
  <si>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（様式３）</t>
    <rPh sb="1" eb="3">
      <t>ヨウシキ</t>
    </rPh>
    <phoneticPr fontId="1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</si>
  <si>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</si>
  <si>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</si>
  <si>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郷土芸能・吟詠剣詩舞部門　学校・団体紹介文</t>
    <rPh sb="0" eb="2">
      <t>きょうど</t>
    </rPh>
    <rPh sb="2" eb="4">
      <t>げいのう</t>
    </rPh>
    <rPh sb="5" eb="7">
      <t>ぎんえい</t>
    </rPh>
    <rPh sb="7" eb="8">
      <t>けん</t>
    </rPh>
    <rPh sb="8" eb="10">
      <t>しぶ</t>
    </rPh>
    <rPh sb="10" eb="12">
      <t>ぶもん</t>
    </rPh>
    <rPh sb="13" eb="15">
      <t>がっこう</t>
    </rPh>
    <rPh sb="16" eb="18">
      <t>だんたい</t>
    </rPh>
    <rPh sb="18" eb="20">
      <t>しょうかい</t>
    </rPh>
    <rPh sb="20" eb="21">
      <t>ぶん</t>
    </rPh>
    <phoneticPr fontId="1" type="Hiragana" alignment="distributed"/>
  </si>
  <si>
    <t>部門名</t>
    <rPh sb="0" eb="3">
      <t>ぶもんめい</t>
    </rPh>
    <phoneticPr fontId="1" type="Hiragana" alignment="distributed"/>
  </si>
  <si>
    <t>郷土芸能</t>
    <rPh sb="0" eb="2">
      <t>きょうど</t>
    </rPh>
    <rPh sb="2" eb="4">
      <t>げいのう</t>
    </rPh>
    <phoneticPr fontId="1" type="Hiragana" alignment="distributed"/>
  </si>
  <si>
    <t>吟詠剣詩舞</t>
    <rPh sb="0" eb="2">
      <t>ぎんえい</t>
    </rPh>
    <rPh sb="2" eb="3">
      <t>けん</t>
    </rPh>
    <rPh sb="3" eb="5">
      <t>しぶ</t>
    </rPh>
    <phoneticPr fontId="1" type="Hiragana" alignment="distributed"/>
  </si>
  <si>
    <t>団体代表顧問名</t>
    <rPh sb="0" eb="2">
      <t>ダンタイ</t>
    </rPh>
    <rPh sb="2" eb="4">
      <t>ダイヒョウ</t>
    </rPh>
    <rPh sb="4" eb="6">
      <t>コモン</t>
    </rPh>
    <rPh sb="6" eb="7">
      <t>メイ</t>
    </rPh>
    <phoneticPr fontId="14"/>
  </si>
  <si>
    <t>上演演目</t>
    <rPh sb="0" eb="2">
      <t>ジョウエン</t>
    </rPh>
    <rPh sb="2" eb="4">
      <t>エンモク</t>
    </rPh>
    <phoneticPr fontId="14"/>
  </si>
  <si>
    <t>【団体紹介】</t>
    <rPh sb="1" eb="3">
      <t>だんたい</t>
    </rPh>
    <rPh sb="3" eb="5">
      <t>しょうかい</t>
    </rPh>
    <phoneticPr fontId="1" type="Hiragana" alignment="distributed"/>
  </si>
  <si>
    <t>団体代表顧問</t>
    <rPh sb="0" eb="2">
      <t>ダンタイ</t>
    </rPh>
    <rPh sb="2" eb="4">
      <t>ダイヒョウ</t>
    </rPh>
    <rPh sb="4" eb="6">
      <t>コモン</t>
    </rPh>
    <phoneticPr fontId="14"/>
  </si>
  <si>
    <t>１　単独校出演校、合同出演校の代表校が作成してください。</t>
    <rPh sb="2" eb="4">
      <t>たんどく</t>
    </rPh>
    <rPh sb="4" eb="5">
      <t>こう</t>
    </rPh>
    <rPh sb="5" eb="8">
      <t>しゅつえんこう</t>
    </rPh>
    <rPh sb="9" eb="11">
      <t>ごうどう</t>
    </rPh>
    <rPh sb="11" eb="14">
      <t>しゅつえんこう</t>
    </rPh>
    <rPh sb="15" eb="17">
      <t>だいひょう</t>
    </rPh>
    <rPh sb="17" eb="18">
      <t>こう</t>
    </rPh>
    <rPh sb="19" eb="21">
      <t>さくせい</t>
    </rPh>
    <phoneticPr fontId="1" type="Hiragana" alignment="distributed"/>
  </si>
  <si>
    <t>２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</si>
  <si>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３　印字シートで、固有名詞にふりがなを入力してください。</t>
    <rPh sb="2" eb="4">
      <t>いんじ</t>
    </rPh>
    <rPh sb="9" eb="11">
      <t>こゆう</t>
    </rPh>
    <rPh sb="11" eb="13">
      <t>めいし</t>
    </rPh>
    <rPh sb="19" eb="21">
      <t>にゅうりょく</t>
    </rPh>
    <phoneticPr fontId="1" type="Hiragana" alignment="distributed"/>
  </si>
  <si>
    <t>４　印字シートを印刷して提出してください。</t>
    <rPh sb="2" eb="4">
      <t>いんじ</t>
    </rPh>
    <rPh sb="8" eb="10">
      <t>いんさつ</t>
    </rPh>
    <rPh sb="12" eb="14">
      <t>ていしゅつ</t>
    </rPh>
    <phoneticPr fontId="1" type="Hiragana" alignment="distributed"/>
  </si>
  <si>
    <t>上演時間</t>
    <rPh sb="0" eb="2">
      <t>じょうえん</t>
    </rPh>
    <rPh sb="2" eb="4">
      <t>じかん</t>
    </rPh>
    <phoneticPr fontId="1" type="Hiragana" alignment="distributed"/>
  </si>
  <si>
    <t>秒</t>
    <rPh sb="0" eb="1">
      <t>びょう</t>
    </rPh>
    <phoneticPr fontId="1" type="Hiragana" alignment="distributed"/>
  </si>
  <si>
    <t>分</t>
    <rPh sb="0" eb="1">
      <t>ふん</t>
    </rPh>
    <phoneticPr fontId="1" type="Hiragana" alignment="distributed"/>
  </si>
  <si>
    <t>秒</t>
    <rPh sb="0" eb="1">
      <t>ビョウ</t>
    </rPh>
    <phoneticPr fontId="1"/>
  </si>
  <si>
    <t>分</t>
    <rPh sb="0" eb="1">
      <t>フン</t>
    </rPh>
    <phoneticPr fontId="1"/>
  </si>
  <si>
    <t>上演時間</t>
    <rPh sb="0" eb="2">
      <t>ジョウエン</t>
    </rPh>
    <rPh sb="2" eb="4">
      <t>ジカン</t>
    </rPh>
    <phoneticPr fontId="1"/>
  </si>
  <si>
    <t>【団体紹介文】</t>
    <rPh sb="1" eb="3">
      <t>ダンタイ</t>
    </rPh>
    <rPh sb="3" eb="6">
      <t>ショウカイブン</t>
    </rPh>
    <phoneticPr fontId="1"/>
  </si>
  <si>
    <t>【演目紹介文】</t>
    <rPh sb="1" eb="3">
      <t>エンモク</t>
    </rPh>
    <rPh sb="3" eb="6">
      <t>ショウカイブン</t>
    </rPh>
    <phoneticPr fontId="1"/>
  </si>
  <si>
    <t>【演目紹介】</t>
    <rPh sb="1" eb="3">
      <t>えんもく</t>
    </rPh>
    <rPh sb="3" eb="5">
      <t>しょうかい</t>
    </rPh>
    <phoneticPr fontId="1" type="Hiragana" alignment="distributed"/>
  </si>
  <si>
    <t>（様式３）</t>
    <rPh sb="1" eb="3">
      <t>ようしき</t>
    </rPh>
    <phoneticPr fontId="1" type="Hiragana" alignment="distributed"/>
  </si>
  <si>
    <t>入力シート</t>
    <rPh sb="0" eb="2">
      <t>にゅうりょく</t>
    </rPh>
    <phoneticPr fontId="1" type="Hiragana" alignment="distributed"/>
  </si>
  <si>
    <t>第３７回近畿高等学校総合文化祭（大阪大会）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おおさか</t>
    </rPh>
    <rPh sb="18" eb="20">
      <t>たいかい</t>
    </rPh>
    <phoneticPr fontId="1" type="Hiragana" alignment="distributed"/>
  </si>
  <si>
    <t>第３７回近畿高等学校総合文化祭大阪大会</t>
    <rPh sb="15" eb="17">
      <t>オオサカ</t>
    </rPh>
    <rPh sb="17" eb="19">
      <t>タイカイ</t>
    </rPh>
    <phoneticPr fontId="1"/>
  </si>
  <si>
    <t>郷土芸能・吟詠剣詩舞部門　学校・団体紹介文</t>
    <rPh sb="0" eb="2">
      <t>キョウド</t>
    </rPh>
    <rPh sb="2" eb="4">
      <t>ゲイノウ</t>
    </rPh>
    <rPh sb="5" eb="7">
      <t>ギンエイ</t>
    </rPh>
    <rPh sb="7" eb="8">
      <t>ケン</t>
    </rPh>
    <rPh sb="8" eb="10">
      <t>シブ</t>
    </rPh>
    <rPh sb="10" eb="12">
      <t>ブモン</t>
    </rPh>
    <rPh sb="13" eb="15">
      <t>ガッコウ</t>
    </rPh>
    <rPh sb="16" eb="18">
      <t>ダンタイ</t>
    </rPh>
    <rPh sb="18" eb="20">
      <t>ショウカイ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</si>
</sst>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ashed">
        <color indexed="64"/>
      </bottom>
      <diagonal/>
    </border>
    <border>
      <left/>
      <right/>
      <top style="thin">
        <color auto="1"/>
      </top>
      <bottom style="dashed">
        <color indexed="64"/>
      </bottom>
      <diagonal/>
    </border>
    <border>
      <left/>
      <right style="medium">
        <color auto="1"/>
      </right>
      <top style="thin">
        <color auto="1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auto="1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6" fillId="2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>
      <alignment vertical="center"/>
    </xf>
    <xf numFmtId="49" fontId="15" fillId="2" borderId="21" xfId="0" applyNumberFormat="1" applyFont="1" applyFill="1" applyBorder="1">
      <alignment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0" fillId="6" borderId="0" xfId="0" applyFill="1">
      <alignment vertical="center"/>
    </xf>
    <xf numFmtId="49" fontId="13" fillId="6" borderId="0" xfId="0" applyNumberFormat="1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0" xfId="0" applyFont="1" applyFill="1" applyBorder="1" applyAlignment="1">
      <alignment horizontal="left"/>
    </xf>
    <xf numFmtId="49" fontId="1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49" fontId="15" fillId="2" borderId="0" xfId="0" applyNumberFormat="1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8" fillId="3" borderId="0" xfId="0" applyFont="1" applyFill="1">
      <alignment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left" vertical="center"/>
    </xf>
    <xf numFmtId="49" fontId="15" fillId="2" borderId="17" xfId="0" applyNumberFormat="1" applyFont="1" applyFill="1" applyBorder="1" applyAlignment="1">
      <alignment horizontal="left" vertical="center"/>
    </xf>
    <xf numFmtId="49" fontId="15" fillId="2" borderId="46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49" fontId="15" fillId="2" borderId="21" xfId="0" applyNumberFormat="1" applyFont="1" applyFill="1" applyBorder="1" applyAlignment="1">
      <alignment horizontal="center" vertical="center" shrinkToFit="1"/>
    </xf>
    <xf numFmtId="49" fontId="15" fillId="2" borderId="0" xfId="0" applyNumberFormat="1" applyFont="1" applyFill="1" applyBorder="1" applyAlignment="1">
      <alignment horizontal="center" vertical="center" shrinkToFit="1"/>
    </xf>
    <xf numFmtId="49" fontId="15" fillId="2" borderId="14" xfId="0" applyNumberFormat="1" applyFont="1" applyFill="1" applyBorder="1" applyAlignment="1">
      <alignment horizontal="center" vertical="center" shrinkToFit="1"/>
    </xf>
    <xf numFmtId="49" fontId="15" fillId="2" borderId="25" xfId="0" applyNumberFormat="1" applyFont="1" applyFill="1" applyBorder="1" applyAlignment="1">
      <alignment horizontal="center" vertical="center" shrinkToFit="1"/>
    </xf>
    <xf numFmtId="49" fontId="15" fillId="2" borderId="12" xfId="0" applyNumberFormat="1" applyFont="1" applyFill="1" applyBorder="1" applyAlignment="1">
      <alignment horizontal="center" vertical="center" shrinkToFit="1"/>
    </xf>
    <xf numFmtId="49" fontId="15" fillId="2" borderId="36" xfId="0" applyNumberFormat="1" applyFont="1" applyFill="1" applyBorder="1" applyAlignment="1">
      <alignment horizontal="center" vertical="center" shrinkToFit="1"/>
    </xf>
    <xf numFmtId="49" fontId="13" fillId="2" borderId="16" xfId="0" applyNumberFormat="1" applyFont="1" applyFill="1" applyBorder="1" applyAlignment="1">
      <alignment horizontal="left" vertical="center"/>
    </xf>
    <xf numFmtId="49" fontId="13" fillId="2" borderId="3" xfId="0" applyNumberFormat="1" applyFont="1" applyFill="1" applyBorder="1" applyAlignment="1">
      <alignment horizontal="left" vertical="center"/>
    </xf>
    <xf numFmtId="49" fontId="13" fillId="2" borderId="4" xfId="0" applyNumberFormat="1" applyFont="1" applyFill="1" applyBorder="1" applyAlignment="1">
      <alignment horizontal="left" vertical="center"/>
    </xf>
    <xf numFmtId="49" fontId="13" fillId="2" borderId="30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1" xfId="0" applyNumberFormat="1" applyFont="1" applyFill="1" applyBorder="1" applyAlignment="1">
      <alignment horizontal="left" vertical="center"/>
    </xf>
    <xf numFmtId="49" fontId="13" fillId="2" borderId="32" xfId="0" applyNumberFormat="1" applyFont="1" applyFill="1" applyBorder="1" applyAlignment="1">
      <alignment horizontal="left" vertical="center"/>
    </xf>
    <xf numFmtId="49" fontId="13" fillId="2" borderId="39" xfId="0" applyNumberFormat="1" applyFont="1" applyFill="1" applyBorder="1" applyAlignment="1">
      <alignment horizontal="left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37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5" fillId="2" borderId="28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13" fillId="2" borderId="31" xfId="0" applyNumberFormat="1" applyFont="1" applyFill="1" applyBorder="1" applyAlignment="1">
      <alignment horizontal="left" vertical="center" shrinkToFit="1"/>
    </xf>
    <xf numFmtId="49" fontId="13" fillId="2" borderId="32" xfId="0" applyNumberFormat="1" applyFont="1" applyFill="1" applyBorder="1" applyAlignment="1">
      <alignment horizontal="left" vertical="center" shrinkToFit="1"/>
    </xf>
    <xf numFmtId="49" fontId="13" fillId="2" borderId="33" xfId="0" applyNumberFormat="1" applyFont="1" applyFill="1" applyBorder="1" applyAlignment="1">
      <alignment horizontal="left" vertical="center" shrinkToFit="1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38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34" xfId="0" applyNumberFormat="1" applyFont="1" applyFill="1" applyBorder="1" applyAlignment="1">
      <alignment horizontal="left" vertical="center"/>
    </xf>
    <xf numFmtId="49" fontId="15" fillId="2" borderId="35" xfId="0" applyNumberFormat="1" applyFont="1" applyFill="1" applyBorder="1" applyAlignment="1">
      <alignment horizontal="left" vertical="center"/>
    </xf>
    <xf numFmtId="49" fontId="15" fillId="2" borderId="21" xfId="0" applyNumberFormat="1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15" fillId="2" borderId="25" xfId="0" applyNumberFormat="1" applyFont="1" applyFill="1" applyBorder="1" applyAlignment="1">
      <alignment horizontal="left" vertical="center"/>
    </xf>
    <xf numFmtId="49" fontId="15" fillId="2" borderId="12" xfId="0" applyNumberFormat="1" applyFont="1" applyFill="1" applyBorder="1" applyAlignment="1">
      <alignment horizontal="left" vertical="center"/>
    </xf>
    <xf numFmtId="49" fontId="15" fillId="2" borderId="36" xfId="0" applyNumberFormat="1" applyFont="1" applyFill="1" applyBorder="1" applyAlignment="1">
      <alignment horizontal="left" vertical="center"/>
    </xf>
    <xf numFmtId="49" fontId="15" fillId="2" borderId="1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3" fillId="2" borderId="43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3" fillId="2" borderId="50" xfId="0" applyNumberFormat="1" applyFont="1" applyFill="1" applyBorder="1" applyAlignment="1">
      <alignment horizontal="left" vertical="center" shrinkToFit="1"/>
    </xf>
    <xf numFmtId="49" fontId="13" fillId="2" borderId="51" xfId="0" applyNumberFormat="1" applyFont="1" applyFill="1" applyBorder="1" applyAlignment="1">
      <alignment horizontal="left" vertical="center" shrinkToFit="1"/>
    </xf>
    <xf numFmtId="49" fontId="13" fillId="2" borderId="52" xfId="0" applyNumberFormat="1" applyFont="1" applyFill="1" applyBorder="1" applyAlignment="1">
      <alignment horizontal="left" vertical="center" shrinkToFit="1"/>
    </xf>
    <xf numFmtId="49" fontId="15" fillId="2" borderId="20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center" vertical="center" shrinkToFit="1"/>
    </xf>
    <xf numFmtId="49" fontId="15" fillId="2" borderId="24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49" fontId="15" fillId="2" borderId="9" xfId="0" applyNumberFormat="1" applyFont="1" applyFill="1" applyBorder="1" applyAlignment="1">
      <alignment horizontal="center" vertical="center" shrinkToFit="1"/>
    </xf>
    <xf numFmtId="49" fontId="15" fillId="2" borderId="42" xfId="0" applyNumberFormat="1" applyFont="1" applyFill="1" applyBorder="1" applyAlignment="1">
      <alignment horizontal="center" vertical="center" shrinkToFit="1"/>
    </xf>
    <xf numFmtId="49" fontId="15" fillId="2" borderId="63" xfId="0" applyNumberFormat="1" applyFont="1" applyFill="1" applyBorder="1" applyAlignment="1">
      <alignment horizontal="center" vertical="center" shrinkToFit="1"/>
    </xf>
    <xf numFmtId="49" fontId="15" fillId="2" borderId="71" xfId="0" applyNumberFormat="1" applyFont="1" applyFill="1" applyBorder="1" applyAlignment="1">
      <alignment horizontal="center"/>
    </xf>
    <xf numFmtId="49" fontId="15" fillId="2" borderId="15" xfId="0" applyNumberFormat="1" applyFont="1" applyFill="1" applyBorder="1" applyAlignment="1">
      <alignment horizontal="center"/>
    </xf>
    <xf numFmtId="49" fontId="15" fillId="2" borderId="70" xfId="0" applyNumberFormat="1" applyFont="1" applyFill="1" applyBorder="1" applyAlignment="1">
      <alignment horizontal="center" vertical="center"/>
    </xf>
    <xf numFmtId="49" fontId="15" fillId="2" borderId="42" xfId="0" applyNumberFormat="1" applyFont="1" applyFill="1" applyBorder="1" applyAlignment="1">
      <alignment horizontal="center" vertical="center"/>
    </xf>
    <xf numFmtId="49" fontId="15" fillId="2" borderId="70" xfId="0" applyNumberFormat="1" applyFont="1" applyFill="1" applyBorder="1" applyAlignment="1">
      <alignment horizontal="center"/>
    </xf>
    <xf numFmtId="49" fontId="15" fillId="2" borderId="42" xfId="0" applyNumberFormat="1" applyFont="1" applyFill="1" applyBorder="1" applyAlignment="1">
      <alignment horizontal="center"/>
    </xf>
    <xf numFmtId="49" fontId="15" fillId="2" borderId="69" xfId="0" applyNumberFormat="1" applyFont="1" applyFill="1" applyBorder="1" applyAlignment="1">
      <alignment horizontal="center" vertical="center"/>
    </xf>
    <xf numFmtId="49" fontId="15" fillId="2" borderId="73" xfId="0" applyNumberFormat="1" applyFont="1" applyFill="1" applyBorder="1" applyAlignment="1">
      <alignment horizontal="center" vertical="center"/>
    </xf>
    <xf numFmtId="49" fontId="15" fillId="2" borderId="67" xfId="0" applyNumberFormat="1" applyFont="1" applyFill="1" applyBorder="1" applyAlignment="1">
      <alignment horizontal="center" vertical="center"/>
    </xf>
    <xf numFmtId="49" fontId="15" fillId="2" borderId="63" xfId="0" applyNumberFormat="1" applyFont="1" applyFill="1" applyBorder="1" applyAlignment="1">
      <alignment horizontal="center" vertical="center"/>
    </xf>
    <xf numFmtId="49" fontId="15" fillId="2" borderId="65" xfId="0" applyNumberFormat="1" applyFont="1" applyFill="1" applyBorder="1" applyAlignment="1">
      <alignment horizontal="center" vertical="center"/>
    </xf>
    <xf numFmtId="49" fontId="15" fillId="2" borderId="66" xfId="0" applyNumberFormat="1" applyFont="1" applyFill="1" applyBorder="1" applyAlignment="1">
      <alignment horizontal="center" vertical="center"/>
    </xf>
    <xf numFmtId="49" fontId="15" fillId="2" borderId="64" xfId="0" applyNumberFormat="1" applyFont="1" applyFill="1" applyBorder="1" applyAlignment="1">
      <alignment horizontal="center" vertical="center"/>
    </xf>
    <xf numFmtId="49" fontId="15" fillId="2" borderId="72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13" fillId="2" borderId="44" xfId="0" applyNumberFormat="1" applyFont="1" applyFill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0" fontId="15" fillId="2" borderId="53" xfId="0" applyNumberFormat="1" applyFont="1" applyFill="1" applyBorder="1" applyAlignment="1">
      <alignment horizontal="left" vertical="center"/>
    </xf>
    <xf numFmtId="0" fontId="15" fillId="2" borderId="54" xfId="0" applyNumberFormat="1" applyFont="1" applyFill="1" applyBorder="1" applyAlignment="1">
      <alignment horizontal="left" vertical="center"/>
    </xf>
    <xf numFmtId="0" fontId="15" fillId="2" borderId="56" xfId="0" applyNumberFormat="1" applyFont="1" applyFill="1" applyBorder="1" applyAlignment="1">
      <alignment horizontal="left" vertical="center"/>
    </xf>
    <xf numFmtId="49" fontId="13" fillId="2" borderId="45" xfId="0" applyNumberFormat="1" applyFont="1" applyFill="1" applyBorder="1" applyAlignment="1">
      <alignment horizontal="left" vertical="center"/>
    </xf>
    <xf numFmtId="0" fontId="13" fillId="2" borderId="45" xfId="0" applyNumberFormat="1" applyFont="1" applyFill="1" applyBorder="1" applyAlignment="1">
      <alignment horizontal="left" vertical="center"/>
    </xf>
    <xf numFmtId="49" fontId="13" fillId="2" borderId="53" xfId="0" applyNumberFormat="1" applyFont="1" applyFill="1" applyBorder="1" applyAlignment="1">
      <alignment horizontal="left" vertical="center" shrinkToFit="1"/>
    </xf>
    <xf numFmtId="0" fontId="13" fillId="2" borderId="54" xfId="0" applyNumberFormat="1" applyFont="1" applyFill="1" applyBorder="1" applyAlignment="1">
      <alignment horizontal="left" vertical="center" shrinkToFit="1"/>
    </xf>
    <xf numFmtId="0" fontId="13" fillId="2" borderId="56" xfId="0" applyNumberFormat="1" applyFont="1" applyFill="1" applyBorder="1" applyAlignment="1">
      <alignment horizontal="left" vertical="center" shrinkToFit="1"/>
    </xf>
    <xf numFmtId="0" fontId="11" fillId="2" borderId="10" xfId="0" applyNumberFormat="1" applyFont="1" applyFill="1" applyBorder="1" applyAlignment="1">
      <alignment horizontal="left" vertical="center"/>
    </xf>
    <xf numFmtId="0" fontId="11" fillId="2" borderId="17" xfId="0" applyNumberFormat="1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15" fillId="2" borderId="22" xfId="0" applyNumberFormat="1" applyFont="1" applyFill="1" applyBorder="1" applyAlignment="1">
      <alignment horizontal="left" vertical="center"/>
    </xf>
    <xf numFmtId="49" fontId="15" fillId="2" borderId="68" xfId="0" applyNumberFormat="1" applyFont="1" applyFill="1" applyBorder="1" applyAlignment="1">
      <alignment horizontal="center" vertical="center" shrinkToFit="1"/>
    </xf>
    <xf numFmtId="49" fontId="15" fillId="2" borderId="11" xfId="0" applyNumberFormat="1" applyFont="1" applyFill="1" applyBorder="1" applyAlignment="1">
      <alignment horizontal="center" vertical="center" shrinkToFit="1"/>
    </xf>
    <xf numFmtId="49" fontId="15" fillId="2" borderId="22" xfId="0" applyNumberFormat="1" applyFont="1" applyFill="1" applyBorder="1" applyAlignment="1">
      <alignment horizontal="left" vertical="center"/>
    </xf>
    <xf numFmtId="49" fontId="15" fillId="2" borderId="49" xfId="0" applyNumberFormat="1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5" xfId="0" applyNumberFormat="1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13" fillId="2" borderId="53" xfId="0" applyNumberFormat="1" applyFont="1" applyFill="1" applyBorder="1" applyAlignment="1">
      <alignment horizontal="left" vertical="center" shrinkToFit="1"/>
    </xf>
    <xf numFmtId="0" fontId="13" fillId="2" borderId="55" xfId="0" applyNumberFormat="1" applyFont="1" applyFill="1" applyBorder="1" applyAlignment="1">
      <alignment horizontal="left" vertical="center" shrinkToFit="1"/>
    </xf>
    <xf numFmtId="49" fontId="7" fillId="2" borderId="22" xfId="0" applyNumberFormat="1" applyFont="1" applyFill="1" applyBorder="1" applyAlignment="1">
      <alignment horizontal="left" vertical="center"/>
    </xf>
    <xf numFmtId="0" fontId="7" fillId="2" borderId="22" xfId="0" applyNumberFormat="1" applyFont="1" applyFill="1" applyBorder="1" applyAlignment="1">
      <alignment horizontal="left" vertical="center"/>
    </xf>
    <xf numFmtId="0" fontId="6" fillId="2" borderId="45" xfId="0" applyNumberFormat="1" applyFont="1" applyFill="1" applyBorder="1" applyAlignment="1">
      <alignment horizontal="left" vertical="center"/>
    </xf>
    <xf numFmtId="0" fontId="6" fillId="2" borderId="47" xfId="0" applyNumberFormat="1" applyFont="1" applyFill="1" applyBorder="1" applyAlignment="1">
      <alignment horizontal="left" vertical="center"/>
    </xf>
    <xf numFmtId="0" fontId="6" fillId="2" borderId="22" xfId="0" applyNumberFormat="1" applyFont="1" applyFill="1" applyBorder="1" applyAlignment="1">
      <alignment horizontal="left" vertical="center"/>
    </xf>
    <xf numFmtId="0" fontId="6" fillId="2" borderId="49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/>
    </xf>
    <xf numFmtId="0" fontId="15" fillId="2" borderId="6" xfId="0" applyNumberFormat="1" applyFont="1" applyFill="1" applyBorder="1" applyAlignment="1">
      <alignment horizontal="left" vertical="center"/>
    </xf>
    <xf numFmtId="0" fontId="15" fillId="2" borderId="7" xfId="0" applyNumberFormat="1" applyFont="1" applyFill="1" applyBorder="1" applyAlignment="1">
      <alignment horizontal="left" vertical="center"/>
    </xf>
    <xf numFmtId="0" fontId="15" fillId="2" borderId="17" xfId="0" applyNumberFormat="1" applyFont="1" applyFill="1" applyBorder="1" applyAlignment="1">
      <alignment horizontal="center" vertical="center"/>
    </xf>
    <xf numFmtId="0" fontId="15" fillId="2" borderId="46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left" vertical="center"/>
    </xf>
    <xf numFmtId="0" fontId="15" fillId="2" borderId="17" xfId="0" applyNumberFormat="1" applyFont="1" applyFill="1" applyBorder="1" applyAlignment="1">
      <alignment horizontal="left" vertical="center"/>
    </xf>
    <xf numFmtId="0" fontId="15" fillId="2" borderId="46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 indent="12"/>
    </xf>
    <xf numFmtId="0" fontId="7" fillId="2" borderId="0" xfId="0" applyFont="1" applyFill="1" applyAlignment="1">
      <alignment horizontal="distributed" vertical="center" indent="7"/>
    </xf>
    <xf numFmtId="0" fontId="9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5" fillId="2" borderId="38" xfId="0" applyNumberFormat="1" applyFont="1" applyFill="1" applyBorder="1" applyAlignment="1">
      <alignment horizontal="center"/>
    </xf>
    <xf numFmtId="0" fontId="15" fillId="2" borderId="41" xfId="0" applyNumberFormat="1" applyFont="1" applyFill="1" applyBorder="1" applyAlignment="1">
      <alignment horizontal="center"/>
    </xf>
    <xf numFmtId="49" fontId="17" fillId="2" borderId="17" xfId="0" applyNumberFormat="1" applyFont="1" applyFill="1" applyBorder="1" applyAlignment="1">
      <alignment horizontal="right"/>
    </xf>
    <xf numFmtId="0" fontId="17" fillId="2" borderId="42" xfId="0" applyNumberFormat="1" applyFont="1" applyFill="1" applyBorder="1" applyAlignment="1">
      <alignment horizontal="right"/>
    </xf>
    <xf numFmtId="0" fontId="15" fillId="2" borderId="19" xfId="0" applyNumberFormat="1" applyFont="1" applyFill="1" applyBorder="1" applyAlignment="1">
      <alignment horizontal="center"/>
    </xf>
    <xf numFmtId="0" fontId="15" fillId="2" borderId="40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right"/>
    </xf>
    <xf numFmtId="0" fontId="17" fillId="2" borderId="67" xfId="0" applyNumberFormat="1" applyFont="1" applyFill="1" applyBorder="1" applyAlignment="1">
      <alignment horizontal="right"/>
    </xf>
    <xf numFmtId="49" fontId="8" fillId="2" borderId="8" xfId="0" applyNumberFormat="1" applyFont="1" applyFill="1" applyBorder="1" applyAlignment="1">
      <alignment horizontal="left" vertical="center"/>
    </xf>
    <xf numFmtId="49" fontId="15" fillId="2" borderId="6" xfId="0" applyNumberFormat="1" applyFont="1" applyFill="1" applyBorder="1" applyAlignment="1">
      <alignment horizontal="left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2"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view="pageBreakPreview" zoomScaleNormal="100" zoomScaleSheetLayoutView="100" workbookViewId="0">
      <selection activeCell="AK32" sqref="AK32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55" t="s">
        <v>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7" ht="15" customHeight="1" x14ac:dyDescent="0.15">
      <c r="A2" s="111" t="s">
        <v>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"/>
      <c r="Q2" s="1"/>
      <c r="R2" s="1"/>
      <c r="S2" s="1" t="s">
        <v>28</v>
      </c>
      <c r="T2" s="115"/>
      <c r="U2" s="115"/>
      <c r="V2" s="115"/>
      <c r="W2" s="1" t="s">
        <v>29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111" t="s">
        <v>38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"/>
      <c r="R3" s="1"/>
      <c r="S3" s="1" t="s">
        <v>36</v>
      </c>
      <c r="T3" s="1" t="s">
        <v>37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111" t="s">
        <v>60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112" t="s">
        <v>39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P6" s="68" t="s">
        <v>26</v>
      </c>
      <c r="Q6" s="68"/>
      <c r="R6" s="68"/>
      <c r="S6" s="68"/>
      <c r="T6" s="68"/>
      <c r="U6" s="68"/>
      <c r="V6" s="68"/>
      <c r="W6" s="68"/>
      <c r="X6" s="68"/>
      <c r="Y6" s="68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7" t="s">
        <v>40</v>
      </c>
    </row>
    <row r="7" spans="1:37" ht="15" customHeight="1" x14ac:dyDescent="0.15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7" t="s">
        <v>41</v>
      </c>
    </row>
    <row r="8" spans="1:37" ht="15" customHeight="1" x14ac:dyDescent="0.15">
      <c r="A8" s="62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6"/>
      <c r="P8" s="68" t="s">
        <v>26</v>
      </c>
      <c r="Q8" s="68"/>
      <c r="R8" s="68"/>
      <c r="S8" s="68"/>
      <c r="T8" s="68"/>
      <c r="U8" s="68"/>
      <c r="V8" s="68"/>
      <c r="W8" s="68"/>
      <c r="X8" s="68"/>
      <c r="Y8" s="68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7" t="s">
        <v>5</v>
      </c>
    </row>
    <row r="9" spans="1:37" ht="15" customHeight="1" thickBot="1" x14ac:dyDescent="0.2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7"/>
      <c r="P9" s="37"/>
      <c r="Q9" s="37"/>
      <c r="R9" s="37"/>
      <c r="S9" s="37"/>
      <c r="T9" s="3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7" t="s">
        <v>6</v>
      </c>
    </row>
    <row r="10" spans="1:37" ht="15" customHeight="1" x14ac:dyDescent="0.15">
      <c r="A10" s="117" t="s">
        <v>17</v>
      </c>
      <c r="B10" s="118"/>
      <c r="C10" s="118"/>
      <c r="D10" s="118"/>
      <c r="E10" s="118"/>
      <c r="F10" s="119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1"/>
      <c r="U10" s="75" t="s">
        <v>27</v>
      </c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1"/>
      <c r="AK10" s="17" t="s">
        <v>7</v>
      </c>
    </row>
    <row r="11" spans="1:37" ht="15" customHeight="1" x14ac:dyDescent="0.15">
      <c r="A11" s="91" t="s">
        <v>18</v>
      </c>
      <c r="B11" s="92"/>
      <c r="C11" s="92"/>
      <c r="D11" s="92"/>
      <c r="E11" s="92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69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1"/>
      <c r="AJ11" s="1"/>
      <c r="AK11" s="17" t="s">
        <v>8</v>
      </c>
    </row>
    <row r="12" spans="1:37" ht="15" customHeight="1" x14ac:dyDescent="0.15">
      <c r="A12" s="93"/>
      <c r="B12" s="56"/>
      <c r="C12" s="56"/>
      <c r="D12" s="56"/>
      <c r="E12" s="56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4"/>
      <c r="AJ12" s="1"/>
      <c r="AK12" s="17" t="s">
        <v>9</v>
      </c>
    </row>
    <row r="13" spans="1:37" ht="15" customHeight="1" x14ac:dyDescent="0.15">
      <c r="A13" s="78" t="s">
        <v>17</v>
      </c>
      <c r="B13" s="79"/>
      <c r="C13" s="79"/>
      <c r="D13" s="79"/>
      <c r="E13" s="79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1"/>
      <c r="AK13" s="17" t="s">
        <v>10</v>
      </c>
    </row>
    <row r="14" spans="1:37" ht="15" customHeight="1" x14ac:dyDescent="0.15">
      <c r="A14" s="83" t="s">
        <v>19</v>
      </c>
      <c r="B14" s="84"/>
      <c r="C14" s="84"/>
      <c r="D14" s="84"/>
      <c r="E14" s="85"/>
      <c r="F14" s="18" t="s">
        <v>20</v>
      </c>
      <c r="G14" s="84"/>
      <c r="H14" s="84"/>
      <c r="I14" s="84"/>
      <c r="J14" s="19" t="s">
        <v>21</v>
      </c>
      <c r="K14" s="84"/>
      <c r="L14" s="84"/>
      <c r="M14" s="84"/>
      <c r="N14" s="84"/>
      <c r="O14" s="101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  <c r="AJ14" s="1"/>
      <c r="AK14" s="17" t="s">
        <v>11</v>
      </c>
    </row>
    <row r="15" spans="1:37" ht="15" customHeight="1" x14ac:dyDescent="0.15">
      <c r="A15" s="83"/>
      <c r="B15" s="84"/>
      <c r="C15" s="84"/>
      <c r="D15" s="84"/>
      <c r="E15" s="85"/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6"/>
      <c r="AJ15" s="1"/>
      <c r="AK15" s="17" t="s">
        <v>12</v>
      </c>
    </row>
    <row r="16" spans="1:37" ht="15" customHeight="1" x14ac:dyDescent="0.15">
      <c r="A16" s="83"/>
      <c r="B16" s="84"/>
      <c r="C16" s="84"/>
      <c r="D16" s="84"/>
      <c r="E16" s="85"/>
      <c r="F16" s="107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9"/>
      <c r="AJ16" s="1"/>
      <c r="AK16" s="17" t="s">
        <v>13</v>
      </c>
    </row>
    <row r="17" spans="1:37" ht="15" customHeight="1" x14ac:dyDescent="0.15">
      <c r="A17" s="86"/>
      <c r="B17" s="87"/>
      <c r="C17" s="87"/>
      <c r="D17" s="87"/>
      <c r="E17" s="88"/>
      <c r="F17" s="56" t="s">
        <v>22</v>
      </c>
      <c r="G17" s="56"/>
      <c r="H17" s="110"/>
      <c r="I17" s="99"/>
      <c r="J17" s="99"/>
      <c r="K17" s="99"/>
      <c r="L17" s="20" t="s">
        <v>21</v>
      </c>
      <c r="M17" s="99"/>
      <c r="N17" s="99"/>
      <c r="O17" s="99"/>
      <c r="P17" s="21" t="s">
        <v>21</v>
      </c>
      <c r="Q17" s="99"/>
      <c r="R17" s="99"/>
      <c r="S17" s="99"/>
      <c r="T17" s="122"/>
      <c r="U17" s="56" t="s">
        <v>23</v>
      </c>
      <c r="V17" s="56"/>
      <c r="W17" s="110"/>
      <c r="X17" s="99"/>
      <c r="Y17" s="99"/>
      <c r="Z17" s="99"/>
      <c r="AA17" s="20" t="s">
        <v>21</v>
      </c>
      <c r="AB17" s="99"/>
      <c r="AC17" s="99"/>
      <c r="AD17" s="99"/>
      <c r="AE17" s="21" t="s">
        <v>21</v>
      </c>
      <c r="AF17" s="99"/>
      <c r="AG17" s="99"/>
      <c r="AH17" s="99"/>
      <c r="AI17" s="100"/>
      <c r="AJ17" s="1"/>
      <c r="AK17" s="17" t="s">
        <v>14</v>
      </c>
    </row>
    <row r="18" spans="1:37" ht="15" customHeight="1" x14ac:dyDescent="0.15">
      <c r="A18" s="78" t="s">
        <v>17</v>
      </c>
      <c r="B18" s="79"/>
      <c r="C18" s="79"/>
      <c r="D18" s="79"/>
      <c r="E18" s="79"/>
      <c r="F18" s="80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2"/>
      <c r="U18" s="56" t="s">
        <v>24</v>
      </c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  <c r="AJ18" s="1"/>
    </row>
    <row r="19" spans="1:37" ht="15" customHeight="1" x14ac:dyDescent="0.15">
      <c r="A19" s="123" t="s">
        <v>42</v>
      </c>
      <c r="B19" s="70"/>
      <c r="C19" s="70"/>
      <c r="D19" s="70"/>
      <c r="E19" s="124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1"/>
      <c r="U19" s="126" t="s">
        <v>22</v>
      </c>
      <c r="V19" s="56"/>
      <c r="W19" s="56"/>
      <c r="X19" s="56"/>
      <c r="Y19" s="56"/>
      <c r="Z19" s="56" t="s">
        <v>21</v>
      </c>
      <c r="AA19" s="56"/>
      <c r="AB19" s="56"/>
      <c r="AC19" s="56"/>
      <c r="AD19" s="56"/>
      <c r="AE19" s="56" t="s">
        <v>21</v>
      </c>
      <c r="AF19" s="56"/>
      <c r="AG19" s="56"/>
      <c r="AH19" s="56"/>
      <c r="AI19" s="57"/>
      <c r="AJ19" s="1"/>
    </row>
    <row r="20" spans="1:37" ht="15" customHeight="1" x14ac:dyDescent="0.15">
      <c r="A20" s="123"/>
      <c r="B20" s="70"/>
      <c r="C20" s="70"/>
      <c r="D20" s="70"/>
      <c r="E20" s="124"/>
      <c r="F20" s="107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25"/>
      <c r="U20" s="12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1"/>
    </row>
    <row r="21" spans="1:37" ht="15" customHeight="1" x14ac:dyDescent="0.15">
      <c r="A21" s="123"/>
      <c r="B21" s="70"/>
      <c r="C21" s="70"/>
      <c r="D21" s="70"/>
      <c r="E21" s="124"/>
      <c r="F21" s="58" t="s">
        <v>25</v>
      </c>
      <c r="G21" s="58"/>
      <c r="H21" s="58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1"/>
      <c r="AJ21" s="1"/>
    </row>
    <row r="22" spans="1:37" ht="15" customHeight="1" x14ac:dyDescent="0.15">
      <c r="A22" s="78" t="s">
        <v>17</v>
      </c>
      <c r="B22" s="79"/>
      <c r="C22" s="79"/>
      <c r="D22" s="79"/>
      <c r="E22" s="79"/>
      <c r="F22" s="151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52"/>
      <c r="AD22" s="149" t="s">
        <v>50</v>
      </c>
      <c r="AE22" s="149"/>
      <c r="AF22" s="149"/>
      <c r="AG22" s="149"/>
      <c r="AH22" s="149"/>
      <c r="AI22" s="150"/>
      <c r="AJ22" s="1"/>
    </row>
    <row r="23" spans="1:37" ht="15" customHeight="1" x14ac:dyDescent="0.15">
      <c r="A23" s="123" t="s">
        <v>43</v>
      </c>
      <c r="B23" s="70"/>
      <c r="C23" s="70"/>
      <c r="D23" s="70"/>
      <c r="E23" s="124"/>
      <c r="F23" s="145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6"/>
      <c r="AD23" s="141"/>
      <c r="AE23" s="141"/>
      <c r="AF23" s="143" t="s">
        <v>52</v>
      </c>
      <c r="AG23" s="141"/>
      <c r="AH23" s="141"/>
      <c r="AI23" s="139" t="s">
        <v>51</v>
      </c>
      <c r="AJ23" s="1"/>
    </row>
    <row r="24" spans="1:37" ht="12" customHeight="1" thickBot="1" x14ac:dyDescent="0.2">
      <c r="A24" s="136"/>
      <c r="B24" s="137"/>
      <c r="C24" s="137"/>
      <c r="D24" s="137"/>
      <c r="E24" s="138"/>
      <c r="F24" s="147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8"/>
      <c r="AD24" s="142"/>
      <c r="AE24" s="142"/>
      <c r="AF24" s="144"/>
      <c r="AG24" s="142"/>
      <c r="AH24" s="142"/>
      <c r="AI24" s="140"/>
      <c r="AJ24" s="1"/>
    </row>
    <row r="25" spans="1:37" ht="12" customHeight="1" x14ac:dyDescent="0.15">
      <c r="A25" s="41"/>
      <c r="B25" s="41"/>
      <c r="C25" s="41"/>
      <c r="D25" s="41"/>
      <c r="E25" s="41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1"/>
    </row>
    <row r="26" spans="1:37" ht="15" customHeight="1" x14ac:dyDescent="0.1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"/>
      <c r="S26" s="3"/>
      <c r="T26" s="3"/>
      <c r="U26" s="116"/>
      <c r="V26" s="116"/>
      <c r="W26" s="116"/>
      <c r="X26" s="116"/>
      <c r="Y26" s="1"/>
      <c r="Z26" s="22"/>
      <c r="AA26" s="1"/>
      <c r="AB26" s="1"/>
      <c r="AC26" s="158" t="s">
        <v>1</v>
      </c>
      <c r="AD26" s="158"/>
      <c r="AE26" s="158"/>
      <c r="AF26" s="158"/>
      <c r="AG26" s="158"/>
      <c r="AH26" s="158"/>
      <c r="AI26" s="158"/>
      <c r="AJ26" s="1"/>
    </row>
    <row r="27" spans="1:37" ht="15" customHeight="1" thickBot="1" x14ac:dyDescent="0.2">
      <c r="A27" s="2" t="s">
        <v>44</v>
      </c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"/>
      <c r="S27" s="154"/>
      <c r="T27" s="154"/>
      <c r="U27" s="153"/>
      <c r="V27" s="153"/>
      <c r="W27" s="153"/>
      <c r="X27" s="153"/>
      <c r="Y27" s="2"/>
      <c r="Z27" s="22"/>
      <c r="AA27" s="1"/>
      <c r="AB27" s="1"/>
      <c r="AC27" s="157" t="s">
        <v>0</v>
      </c>
      <c r="AD27" s="116"/>
      <c r="AE27" s="116"/>
      <c r="AF27" s="155">
        <f>LEN(SUBSTITUTE(A28,CHAR(10),""))</f>
        <v>0</v>
      </c>
      <c r="AG27" s="155"/>
      <c r="AH27" s="155"/>
      <c r="AI27" s="156"/>
      <c r="AJ27" s="1"/>
    </row>
    <row r="28" spans="1:37" ht="15" customHeight="1" x14ac:dyDescent="0.15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9"/>
      <c r="AJ28" s="1"/>
    </row>
    <row r="29" spans="1:37" ht="15" customHeight="1" x14ac:dyDescent="0.15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2"/>
      <c r="AJ29" s="1"/>
    </row>
    <row r="30" spans="1:37" ht="15" customHeight="1" x14ac:dyDescent="0.15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2"/>
      <c r="AJ30" s="1"/>
    </row>
    <row r="31" spans="1:37" ht="15" customHeight="1" x14ac:dyDescent="0.1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2"/>
      <c r="AJ31" s="1"/>
    </row>
    <row r="32" spans="1:37" ht="15" customHeight="1" x14ac:dyDescent="0.15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2"/>
      <c r="AJ32" s="1"/>
    </row>
    <row r="33" spans="1:36" ht="15" customHeight="1" thickBot="1" x14ac:dyDescent="0.2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5"/>
      <c r="AJ33" s="1"/>
    </row>
    <row r="34" spans="1:36" ht="15" customHeight="1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1"/>
    </row>
    <row r="35" spans="1:36" ht="15" customHeight="1" x14ac:dyDescent="0.1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"/>
      <c r="S35" s="3"/>
      <c r="T35" s="3"/>
      <c r="U35" s="116"/>
      <c r="V35" s="116"/>
      <c r="W35" s="116"/>
      <c r="X35" s="116"/>
      <c r="Y35" s="1"/>
      <c r="Z35" s="22"/>
      <c r="AA35" s="1"/>
      <c r="AB35" s="1"/>
      <c r="AC35" s="158" t="s">
        <v>1</v>
      </c>
      <c r="AD35" s="158"/>
      <c r="AE35" s="158"/>
      <c r="AF35" s="158"/>
      <c r="AG35" s="158"/>
      <c r="AH35" s="158"/>
      <c r="AI35" s="158"/>
      <c r="AJ35" s="1"/>
    </row>
    <row r="36" spans="1:36" ht="15" customHeight="1" thickBot="1" x14ac:dyDescent="0.2">
      <c r="A36" s="2" t="s">
        <v>58</v>
      </c>
      <c r="B36" s="4"/>
      <c r="C36" s="1"/>
      <c r="D36" s="54"/>
      <c r="E36" s="54"/>
      <c r="F36" s="54"/>
      <c r="G36" s="1"/>
      <c r="H36" s="1"/>
      <c r="I36" s="1"/>
      <c r="J36" s="1"/>
      <c r="K36" s="54"/>
      <c r="L36" s="1"/>
      <c r="M36" s="1"/>
      <c r="N36" s="1"/>
      <c r="O36" s="1"/>
      <c r="P36" s="1"/>
      <c r="Q36" s="1"/>
      <c r="R36" s="3"/>
      <c r="S36" s="154"/>
      <c r="T36" s="154"/>
      <c r="U36" s="153"/>
      <c r="V36" s="153"/>
      <c r="W36" s="153"/>
      <c r="X36" s="153"/>
      <c r="Y36" s="2"/>
      <c r="Z36" s="22"/>
      <c r="AA36" s="1"/>
      <c r="AB36" s="1"/>
      <c r="AC36" s="157" t="s">
        <v>0</v>
      </c>
      <c r="AD36" s="116"/>
      <c r="AE36" s="116"/>
      <c r="AF36" s="155">
        <f>LEN(SUBSTITUTE(A37,CHAR(10),""))</f>
        <v>0</v>
      </c>
      <c r="AG36" s="155"/>
      <c r="AH36" s="155"/>
      <c r="AI36" s="156"/>
      <c r="AJ36" s="1"/>
    </row>
    <row r="37" spans="1:36" ht="15" customHeight="1" x14ac:dyDescent="0.15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9"/>
      <c r="AJ37" s="1"/>
    </row>
    <row r="38" spans="1:36" ht="15" customHeight="1" x14ac:dyDescent="0.1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2"/>
      <c r="AJ38" s="1"/>
    </row>
    <row r="39" spans="1:36" ht="15" customHeight="1" x14ac:dyDescent="0.15">
      <c r="A39" s="130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2"/>
      <c r="AJ39" s="1"/>
    </row>
    <row r="40" spans="1:36" ht="15" customHeight="1" x14ac:dyDescent="0.15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2"/>
      <c r="AJ40" s="1"/>
    </row>
    <row r="41" spans="1:36" ht="15" customHeight="1" x14ac:dyDescent="0.15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2"/>
      <c r="AJ41" s="1"/>
    </row>
    <row r="42" spans="1:36" ht="15" customHeight="1" thickBot="1" x14ac:dyDescent="0.2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5"/>
      <c r="AJ42" s="1"/>
    </row>
    <row r="43" spans="1:36" ht="15" customHeight="1" x14ac:dyDescent="0.1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1"/>
    </row>
    <row r="44" spans="1:36" ht="15" customHeight="1" x14ac:dyDescent="0.15">
      <c r="A44" s="90" t="s">
        <v>3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" customHeight="1" x14ac:dyDescent="0.15">
      <c r="A45" s="38" t="s">
        <v>46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" customHeight="1" x14ac:dyDescent="0.15">
      <c r="A46" s="89" t="s">
        <v>47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" customHeight="1" x14ac:dyDescent="0.15">
      <c r="A47" s="89" t="s">
        <v>48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1" t="s">
        <v>49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1" spans="2:23" x14ac:dyDescent="0.15"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</sheetData>
  <mergeCells count="70">
    <mergeCell ref="U35:X35"/>
    <mergeCell ref="AC35:AI35"/>
    <mergeCell ref="S36:T36"/>
    <mergeCell ref="U36:X36"/>
    <mergeCell ref="AC36:AE36"/>
    <mergeCell ref="AF36:AI36"/>
    <mergeCell ref="A37:AI42"/>
    <mergeCell ref="A22:E22"/>
    <mergeCell ref="A23:E24"/>
    <mergeCell ref="AI23:AI24"/>
    <mergeCell ref="AG23:AH24"/>
    <mergeCell ref="AF23:AF24"/>
    <mergeCell ref="AD23:AE24"/>
    <mergeCell ref="F23:AC24"/>
    <mergeCell ref="AD22:AI22"/>
    <mergeCell ref="F22:AC22"/>
    <mergeCell ref="U27:X27"/>
    <mergeCell ref="S27:T27"/>
    <mergeCell ref="A28:AI33"/>
    <mergeCell ref="AF27:AI27"/>
    <mergeCell ref="AC27:AE27"/>
    <mergeCell ref="AC26:AI26"/>
    <mergeCell ref="U26:X26"/>
    <mergeCell ref="A10:E10"/>
    <mergeCell ref="F10:T10"/>
    <mergeCell ref="Q17:T17"/>
    <mergeCell ref="U17:V17"/>
    <mergeCell ref="W17:Z17"/>
    <mergeCell ref="M17:O17"/>
    <mergeCell ref="A19:E21"/>
    <mergeCell ref="F19:T20"/>
    <mergeCell ref="U19:U20"/>
    <mergeCell ref="V19:Y20"/>
    <mergeCell ref="Z19:Z20"/>
    <mergeCell ref="A3:P3"/>
    <mergeCell ref="A6:E7"/>
    <mergeCell ref="F6:O7"/>
    <mergeCell ref="P6:Y6"/>
    <mergeCell ref="A2:O2"/>
    <mergeCell ref="T2:V2"/>
    <mergeCell ref="A4:O4"/>
    <mergeCell ref="A46:X46"/>
    <mergeCell ref="A47:X47"/>
    <mergeCell ref="A44:X44"/>
    <mergeCell ref="A11:E12"/>
    <mergeCell ref="F11:T12"/>
    <mergeCell ref="A13:E13"/>
    <mergeCell ref="F13:AI13"/>
    <mergeCell ref="AA19:AD20"/>
    <mergeCell ref="AE19:AE20"/>
    <mergeCell ref="AF17:AI17"/>
    <mergeCell ref="K14:N14"/>
    <mergeCell ref="O14:AI14"/>
    <mergeCell ref="F15:AI16"/>
    <mergeCell ref="F17:G17"/>
    <mergeCell ref="H17:K17"/>
    <mergeCell ref="AB17:AD17"/>
    <mergeCell ref="AF19:AI20"/>
    <mergeCell ref="F21:H21"/>
    <mergeCell ref="I21:AI21"/>
    <mergeCell ref="A8:E9"/>
    <mergeCell ref="F8:O9"/>
    <mergeCell ref="P8:Y8"/>
    <mergeCell ref="U11:AI12"/>
    <mergeCell ref="U10:AI10"/>
    <mergeCell ref="A18:E18"/>
    <mergeCell ref="F18:T18"/>
    <mergeCell ref="U18:AI18"/>
    <mergeCell ref="A14:E17"/>
    <mergeCell ref="G14:I14"/>
  </mergeCells>
  <phoneticPr fontId="1" type="Hiragana" alignment="distributed"/>
  <conditionalFormatting sqref="F8:O9 A28:AI33">
    <cfRule type="cellIs" dxfId="11" priority="12" stopIfTrue="1" operator="equal">
      <formula>""</formula>
    </cfRule>
  </conditionalFormatting>
  <conditionalFormatting sqref="F11:T12">
    <cfRule type="cellIs" dxfId="10" priority="10" operator="equal">
      <formula>""</formula>
    </cfRule>
  </conditionalFormatting>
  <conditionalFormatting sqref="F10:T10">
    <cfRule type="cellIs" dxfId="9" priority="9" stopIfTrue="1" operator="equal">
      <formula>""</formula>
    </cfRule>
  </conditionalFormatting>
  <conditionalFormatting sqref="F8:Y8 F10:AI13 F9:O9 F15:AI16 F14:N14 F18:AI18 H17:T17 W17:AI17 I21:AI21 F19:T20 AF19:AI20 AA19:AD20 V19:Y20">
    <cfRule type="cellIs" dxfId="8" priority="8" stopIfTrue="1" operator="equal">
      <formula>""</formula>
    </cfRule>
  </conditionalFormatting>
  <conditionalFormatting sqref="F6:O7">
    <cfRule type="cellIs" dxfId="7" priority="6" stopIfTrue="1" operator="equal">
      <formula>""</formula>
    </cfRule>
  </conditionalFormatting>
  <conditionalFormatting sqref="F6:O7">
    <cfRule type="cellIs" dxfId="6" priority="5" stopIfTrue="1" operator="equal">
      <formula>""</formula>
    </cfRule>
  </conditionalFormatting>
  <conditionalFormatting sqref="P6:Y6">
    <cfRule type="cellIs" dxfId="5" priority="4" stopIfTrue="1" operator="equal">
      <formula>""</formula>
    </cfRule>
  </conditionalFormatting>
  <conditionalFormatting sqref="F22:F23">
    <cfRule type="cellIs" dxfId="4" priority="3" stopIfTrue="1" operator="equal">
      <formula>""</formula>
    </cfRule>
  </conditionalFormatting>
  <conditionalFormatting sqref="A37:AI42">
    <cfRule type="cellIs" dxfId="3" priority="2" stopIfTrue="1" operator="equal">
      <formula>""</formula>
    </cfRule>
  </conditionalFormatting>
  <conditionalFormatting sqref="AD23:AE24 AG23:AH24">
    <cfRule type="cellIs" dxfId="2" priority="1" operator="equal">
      <formula>""</formula>
    </cfRule>
  </conditionalFormatting>
  <dataValidations count="3">
    <dataValidation operator="greaterThanOrEqual" showInputMessage="1" showErrorMessage="1" errorTitle="半角で入力ください" error="半角で入力してください" promptTitle="半角で入力ください" sqref="G14:I14"/>
    <dataValidation type="list" allowBlank="1" showInputMessage="1" showErrorMessage="1" sqref="F8:O9">
      <formula1>$AK$8:$AK$17</formula1>
    </dataValidation>
    <dataValidation type="list" allowBlank="1" showInputMessage="1" showErrorMessage="1" sqref="F6:O7">
      <formula1>$AK$6:$AK$7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61"/>
  <sheetViews>
    <sheetView tabSelected="1" zoomScaleNormal="100" workbookViewId="0">
      <selection activeCell="F19" sqref="F19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" style="8" customWidth="1"/>
    <col min="23" max="23" width="16" style="8" customWidth="1"/>
    <col min="24" max="16384" width="9" style="8"/>
  </cols>
  <sheetData>
    <row r="1" spans="2:37" x14ac:dyDescent="0.15">
      <c r="B1" s="1" t="s">
        <v>35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37" ht="14.25" x14ac:dyDescent="0.15">
      <c r="B2" s="205" t="s">
        <v>62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2:37" ht="21.75" customHeight="1" x14ac:dyDescent="0.15">
      <c r="B3" s="206" t="s">
        <v>63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2:37" ht="10.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0" t="s">
        <v>31</v>
      </c>
      <c r="S4" s="9"/>
      <c r="T4" s="9"/>
      <c r="U4" s="9"/>
    </row>
    <row r="5" spans="2:37" ht="21" customHeight="1" thickBot="1" x14ac:dyDescent="0.2">
      <c r="B5" s="195"/>
      <c r="C5" s="195"/>
      <c r="D5" s="196"/>
      <c r="E5" s="196"/>
      <c r="F5" s="196"/>
      <c r="G5" s="35"/>
      <c r="H5" s="35"/>
      <c r="I5" s="35"/>
      <c r="J5" s="36"/>
      <c r="K5" s="209" t="s">
        <v>2</v>
      </c>
      <c r="L5" s="208"/>
      <c r="M5" s="208">
        <f>紹介文入力シート!F8</f>
        <v>0</v>
      </c>
      <c r="N5" s="208"/>
      <c r="O5" s="208"/>
      <c r="P5" s="207" t="s">
        <v>15</v>
      </c>
      <c r="Q5" s="207"/>
      <c r="R5" s="181"/>
      <c r="S5" s="181"/>
      <c r="T5" s="182"/>
      <c r="U5" s="9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</row>
    <row r="6" spans="2:37" ht="15" customHeight="1" x14ac:dyDescent="0.15">
      <c r="B6" s="179" t="s">
        <v>32</v>
      </c>
      <c r="C6" s="180"/>
      <c r="D6" s="187">
        <f>紹介文入力シート!F10</f>
        <v>0</v>
      </c>
      <c r="E6" s="168"/>
      <c r="F6" s="168"/>
      <c r="G6" s="168"/>
      <c r="H6" s="168"/>
      <c r="I6" s="168"/>
      <c r="J6" s="168"/>
      <c r="K6" s="188"/>
      <c r="L6" s="185" t="s">
        <v>34</v>
      </c>
      <c r="M6" s="185"/>
      <c r="N6" s="191" t="str">
        <f>IF(紹介文入力シート!U11="","",紹介文入力シート!U11)</f>
        <v/>
      </c>
      <c r="O6" s="191"/>
      <c r="P6" s="191"/>
      <c r="Q6" s="191"/>
      <c r="R6" s="191"/>
      <c r="S6" s="191"/>
      <c r="T6" s="192"/>
      <c r="U6" s="9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2:37" ht="22.5" customHeight="1" thickBot="1" x14ac:dyDescent="0.2">
      <c r="B7" s="183" t="s">
        <v>33</v>
      </c>
      <c r="C7" s="184"/>
      <c r="D7" s="189">
        <f>紹介文入力シート!F11</f>
        <v>0</v>
      </c>
      <c r="E7" s="190"/>
      <c r="F7" s="190"/>
      <c r="G7" s="190"/>
      <c r="H7" s="190"/>
      <c r="I7" s="190"/>
      <c r="J7" s="190"/>
      <c r="K7" s="190"/>
      <c r="L7" s="186"/>
      <c r="M7" s="186"/>
      <c r="N7" s="193"/>
      <c r="O7" s="193"/>
      <c r="P7" s="193"/>
      <c r="Q7" s="193"/>
      <c r="R7" s="193"/>
      <c r="S7" s="193"/>
      <c r="T7" s="194"/>
      <c r="U7" s="9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</row>
    <row r="8" spans="2:37" ht="17.25" customHeight="1" x14ac:dyDescent="0.15">
      <c r="B8" s="159" t="s">
        <v>17</v>
      </c>
      <c r="C8" s="160"/>
      <c r="D8" s="167">
        <f>紹介文入力シート!F13</f>
        <v>0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9"/>
      <c r="U8" s="29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1"/>
    </row>
    <row r="9" spans="2:37" ht="15" customHeight="1" x14ac:dyDescent="0.15">
      <c r="B9" s="93" t="s">
        <v>19</v>
      </c>
      <c r="C9" s="56"/>
      <c r="D9" s="170" t="str">
        <f>CONCATENATE(紹介文入力シート!F14,紹介文入力シート!G14,紹介文入力シート!J14,紹介文入力シート!K14)</f>
        <v>〒－</v>
      </c>
      <c r="E9" s="171"/>
      <c r="F9" s="171"/>
      <c r="G9" s="171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1"/>
      <c r="U9" s="2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1"/>
    </row>
    <row r="10" spans="2:37" ht="19.5" customHeight="1" x14ac:dyDescent="0.15">
      <c r="B10" s="93"/>
      <c r="C10" s="56"/>
      <c r="D10" s="172">
        <f>紹介文入力シート!F15</f>
        <v>0</v>
      </c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3"/>
      <c r="U10" s="24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1"/>
    </row>
    <row r="11" spans="2:37" ht="15" customHeight="1" thickBot="1" x14ac:dyDescent="0.2">
      <c r="B11" s="161"/>
      <c r="C11" s="58"/>
      <c r="D11" s="174" t="str">
        <f>CONCATENATE(紹介文入力シート!F17,紹介文入力シート!H17,紹介文入力シート!L17,紹介文入力シート!M17,紹介文入力シート!P17,紹介文入力シート!Q17)</f>
        <v>TEL－－</v>
      </c>
      <c r="E11" s="174"/>
      <c r="F11" s="174"/>
      <c r="G11" s="174"/>
      <c r="H11" s="174"/>
      <c r="I11" s="174"/>
      <c r="J11" s="174"/>
      <c r="K11" s="174"/>
      <c r="L11" s="202" t="str">
        <f>CONCATENATE(紹介文入力シート!U17,紹介文入力シート!W17,紹介文入力シート!AA17,紹介文入力シート!AB17,紹介文入力シート!AE17,紹介文入力シート!AF17)</f>
        <v>FAX－－</v>
      </c>
      <c r="M11" s="203"/>
      <c r="N11" s="203"/>
      <c r="O11" s="203"/>
      <c r="P11" s="203"/>
      <c r="Q11" s="203"/>
      <c r="R11" s="203"/>
      <c r="S11" s="203"/>
      <c r="T11" s="204"/>
      <c r="U11" s="24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1"/>
    </row>
    <row r="12" spans="2:37" ht="15" customHeight="1" x14ac:dyDescent="0.15">
      <c r="B12" s="159" t="s">
        <v>17</v>
      </c>
      <c r="C12" s="160"/>
      <c r="D12" s="165">
        <f>紹介文入力シート!F18</f>
        <v>0</v>
      </c>
      <c r="E12" s="166"/>
      <c r="F12" s="166"/>
      <c r="G12" s="166"/>
      <c r="H12" s="166"/>
      <c r="I12" s="166"/>
      <c r="J12" s="166"/>
      <c r="K12" s="166"/>
      <c r="L12" s="162" t="s">
        <v>24</v>
      </c>
      <c r="M12" s="163"/>
      <c r="N12" s="163"/>
      <c r="O12" s="163"/>
      <c r="P12" s="163"/>
      <c r="Q12" s="163"/>
      <c r="R12" s="163"/>
      <c r="S12" s="163"/>
      <c r="T12" s="164"/>
      <c r="U12" s="24"/>
      <c r="V12" s="31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1"/>
    </row>
    <row r="13" spans="2:37" ht="22.5" customHeight="1" x14ac:dyDescent="0.15">
      <c r="B13" s="175" t="s">
        <v>45</v>
      </c>
      <c r="C13" s="176"/>
      <c r="D13" s="197">
        <f>紹介文入力シート!F19</f>
        <v>0</v>
      </c>
      <c r="E13" s="197"/>
      <c r="F13" s="197"/>
      <c r="G13" s="197"/>
      <c r="H13" s="197"/>
      <c r="I13" s="197"/>
      <c r="J13" s="197"/>
      <c r="K13" s="197"/>
      <c r="L13" s="198" t="str">
        <f>CONCATENATE(紹介文入力シート!V19,紹介文入力シート!Z19,紹介文入力シート!AA19,紹介文入力シート!AE19,紹介文入力シート!AF19)</f>
        <v>－－</v>
      </c>
      <c r="M13" s="198"/>
      <c r="N13" s="198"/>
      <c r="O13" s="198"/>
      <c r="P13" s="198"/>
      <c r="Q13" s="198"/>
      <c r="R13" s="198"/>
      <c r="S13" s="198"/>
      <c r="T13" s="199"/>
      <c r="U13" s="24"/>
      <c r="V13" s="32"/>
      <c r="W13" s="33"/>
      <c r="X13" s="33"/>
      <c r="Y13" s="33"/>
      <c r="Z13" s="33"/>
      <c r="AA13" s="33"/>
      <c r="AB13" s="33"/>
      <c r="AC13" s="33"/>
      <c r="AD13" s="33"/>
      <c r="AE13" s="33"/>
      <c r="AF13" s="33" t="s">
        <v>21</v>
      </c>
      <c r="AG13" s="33" t="s">
        <v>30</v>
      </c>
      <c r="AH13" s="33"/>
      <c r="AI13" s="33"/>
      <c r="AJ13" s="33"/>
      <c r="AK13" s="31"/>
    </row>
    <row r="14" spans="2:37" x14ac:dyDescent="0.15">
      <c r="B14" s="123"/>
      <c r="C14" s="124"/>
      <c r="D14" s="177" t="s">
        <v>25</v>
      </c>
      <c r="E14" s="177"/>
      <c r="F14" s="177">
        <f>紹介文入力シート!I21</f>
        <v>0</v>
      </c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8"/>
      <c r="U14" s="24"/>
      <c r="V14" s="32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1"/>
    </row>
    <row r="15" spans="2:37" ht="15" customHeight="1" x14ac:dyDescent="0.15">
      <c r="B15" s="210" t="s">
        <v>17</v>
      </c>
      <c r="C15" s="126"/>
      <c r="D15" s="220">
        <f>紹介文入力シート!F22</f>
        <v>0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1" t="s">
        <v>55</v>
      </c>
      <c r="R15" s="221"/>
      <c r="S15" s="221"/>
      <c r="T15" s="222"/>
      <c r="U15" s="24"/>
      <c r="V15" s="32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1"/>
    </row>
    <row r="16" spans="2:37" ht="15" customHeight="1" x14ac:dyDescent="0.15">
      <c r="B16" s="175" t="s">
        <v>43</v>
      </c>
      <c r="C16" s="176"/>
      <c r="D16" s="197">
        <f>紹介文入力シート!F23</f>
        <v>0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217">
        <f>紹介文入力シート!AD23</f>
        <v>0</v>
      </c>
      <c r="R16" s="215" t="s">
        <v>54</v>
      </c>
      <c r="S16" s="213">
        <f>紹介文入力シート!AG23</f>
        <v>0</v>
      </c>
      <c r="T16" s="211" t="s">
        <v>53</v>
      </c>
      <c r="U16" s="24"/>
      <c r="V16" s="32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1"/>
    </row>
    <row r="17" spans="2:37" ht="15" customHeight="1" thickBot="1" x14ac:dyDescent="0.2">
      <c r="B17" s="136"/>
      <c r="C17" s="138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8"/>
      <c r="R17" s="216"/>
      <c r="S17" s="214"/>
      <c r="T17" s="212"/>
      <c r="U17" s="24"/>
      <c r="V17" s="32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1"/>
    </row>
    <row r="18" spans="2:37" s="16" customFormat="1" ht="7.5" customHeight="1" x14ac:dyDescent="0.15">
      <c r="B18" s="25"/>
      <c r="C18" s="25"/>
      <c r="D18" s="26"/>
      <c r="E18" s="26"/>
      <c r="F18" s="26"/>
      <c r="G18" s="9"/>
      <c r="H18" s="9"/>
      <c r="I18" s="9"/>
      <c r="J18" s="9"/>
      <c r="K18" s="9"/>
      <c r="L18" s="9"/>
      <c r="M18" s="9"/>
      <c r="N18" s="9"/>
      <c r="O18" s="9"/>
      <c r="P18" s="27"/>
      <c r="Q18" s="27"/>
      <c r="R18" s="28"/>
      <c r="S18" s="28"/>
      <c r="T18" s="9"/>
      <c r="U18" s="9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4"/>
    </row>
    <row r="19" spans="2:37" s="16" customFormat="1" ht="14.25" thickBot="1" x14ac:dyDescent="0.2">
      <c r="B19" s="9" t="s">
        <v>56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2:37" s="50" customFormat="1" ht="11.25" customHeight="1" x14ac:dyDescent="0.1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51"/>
      <c r="W20" s="52" t="s">
        <v>4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</row>
    <row r="21" spans="2:37" s="42" customFormat="1" ht="18.75" customHeight="1" x14ac:dyDescent="0.15">
      <c r="B21" s="43" t="str">
        <f>MID(紹介文入力シート!$A$28,1,1)</f>
        <v/>
      </c>
      <c r="C21" s="44" t="str">
        <f>MID(紹介文入力シート!$A$28,2,1)</f>
        <v/>
      </c>
      <c r="D21" s="44" t="str">
        <f>MID(紹介文入力シート!$A$28,3,1)</f>
        <v/>
      </c>
      <c r="E21" s="44" t="str">
        <f>MID(紹介文入力シート!$A$28,4,1)</f>
        <v/>
      </c>
      <c r="F21" s="44" t="str">
        <f>MID(紹介文入力シート!$A$28,5,1)</f>
        <v/>
      </c>
      <c r="G21" s="44" t="str">
        <f>MID(紹介文入力シート!$A$28,6,1)</f>
        <v/>
      </c>
      <c r="H21" s="44" t="str">
        <f>MID(紹介文入力シート!$A$28,7,1)</f>
        <v/>
      </c>
      <c r="I21" s="44" t="str">
        <f>MID(紹介文入力シート!$A$28,8,1)</f>
        <v/>
      </c>
      <c r="J21" s="44" t="str">
        <f>MID(紹介文入力シート!$A$28,9,1)</f>
        <v/>
      </c>
      <c r="K21" s="44" t="str">
        <f>MID(紹介文入力シート!$A$28,10,1)</f>
        <v/>
      </c>
      <c r="L21" s="44" t="str">
        <f>MID(紹介文入力シート!$A$28,11,1)</f>
        <v/>
      </c>
      <c r="M21" s="44" t="str">
        <f>MID(紹介文入力シート!$A$28,12,1)</f>
        <v/>
      </c>
      <c r="N21" s="44" t="str">
        <f>MID(紹介文入力シート!$A$28,13,1)</f>
        <v/>
      </c>
      <c r="O21" s="44" t="str">
        <f>MID(紹介文入力シート!$A$28,14,1)</f>
        <v/>
      </c>
      <c r="P21" s="44" t="str">
        <f>MID(紹介文入力シート!$A$28,15,1)</f>
        <v/>
      </c>
      <c r="Q21" s="44" t="str">
        <f>MID(紹介文入力シート!$A$28,16,1)</f>
        <v/>
      </c>
      <c r="R21" s="44" t="str">
        <f>MID(紹介文入力シート!$A$28,17,1)</f>
        <v/>
      </c>
      <c r="S21" s="44" t="str">
        <f>MID(紹介文入力シート!$A$28,18,1)</f>
        <v/>
      </c>
      <c r="T21" s="44" t="str">
        <f>MID(紹介文入力シート!$A$28,19,1)</f>
        <v/>
      </c>
      <c r="U21" s="45" t="str">
        <f>MID(紹介文入力シート!$A$28,20,1)</f>
        <v/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</row>
    <row r="22" spans="2:37" s="50" customFormat="1" ht="11.25" customHeight="1" x14ac:dyDescent="0.1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</row>
    <row r="23" spans="2:37" s="42" customFormat="1" ht="18.75" customHeight="1" x14ac:dyDescent="0.15">
      <c r="B23" s="43" t="str">
        <f>MID(紹介文入力シート!$A$28,21,1)</f>
        <v/>
      </c>
      <c r="C23" s="44" t="str">
        <f>MID(紹介文入力シート!$A$28,22,1)</f>
        <v/>
      </c>
      <c r="D23" s="44" t="str">
        <f>MID(紹介文入力シート!$A$28,23,1)</f>
        <v/>
      </c>
      <c r="E23" s="44" t="str">
        <f>MID(紹介文入力シート!$A$28,24,1)</f>
        <v/>
      </c>
      <c r="F23" s="44" t="str">
        <f>MID(紹介文入力シート!$A$28,25,1)</f>
        <v/>
      </c>
      <c r="G23" s="44" t="str">
        <f>MID(紹介文入力シート!$A$28,26,1)</f>
        <v/>
      </c>
      <c r="H23" s="44" t="str">
        <f>MID(紹介文入力シート!$A$28,27,1)</f>
        <v/>
      </c>
      <c r="I23" s="44" t="str">
        <f>MID(紹介文入力シート!$A$28,28,1)</f>
        <v/>
      </c>
      <c r="J23" s="44" t="str">
        <f>MID(紹介文入力シート!$A$28,29,1)</f>
        <v/>
      </c>
      <c r="K23" s="44" t="str">
        <f>MID(紹介文入力シート!$A$28,30,1)</f>
        <v/>
      </c>
      <c r="L23" s="44" t="str">
        <f>MID(紹介文入力シート!$A$28,31,1)</f>
        <v/>
      </c>
      <c r="M23" s="44" t="str">
        <f>MID(紹介文入力シート!$A$28,32,1)</f>
        <v/>
      </c>
      <c r="N23" s="44" t="str">
        <f>MID(紹介文入力シート!$A$28,33,1)</f>
        <v/>
      </c>
      <c r="O23" s="44" t="str">
        <f>MID(紹介文入力シート!$A$28,34,1)</f>
        <v/>
      </c>
      <c r="P23" s="44" t="str">
        <f>MID(紹介文入力シート!$A$28,35,1)</f>
        <v/>
      </c>
      <c r="Q23" s="44" t="str">
        <f>MID(紹介文入力シート!$A$28,36,1)</f>
        <v/>
      </c>
      <c r="R23" s="44" t="str">
        <f>MID(紹介文入力シート!$A$28,37,1)</f>
        <v/>
      </c>
      <c r="S23" s="44" t="str">
        <f>MID(紹介文入力シート!$A$28,38,1)</f>
        <v/>
      </c>
      <c r="T23" s="44" t="str">
        <f>MID(紹介文入力シート!$A$28,39,1)</f>
        <v/>
      </c>
      <c r="U23" s="45" t="str">
        <f>MID(紹介文入力シート!$A$28,40,1)</f>
        <v/>
      </c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</row>
    <row r="24" spans="2:37" s="50" customFormat="1" ht="11.25" customHeight="1" x14ac:dyDescent="0.15"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2:37" s="42" customFormat="1" ht="18.75" customHeight="1" x14ac:dyDescent="0.15">
      <c r="B25" s="43" t="str">
        <f>MID(紹介文入力シート!$A$28,41,1)</f>
        <v/>
      </c>
      <c r="C25" s="44" t="str">
        <f>MID(紹介文入力シート!$A$28,42,1)</f>
        <v/>
      </c>
      <c r="D25" s="44" t="str">
        <f>MID(紹介文入力シート!$A$28,43,1)</f>
        <v/>
      </c>
      <c r="E25" s="44" t="str">
        <f>MID(紹介文入力シート!$A$28,44,1)</f>
        <v/>
      </c>
      <c r="F25" s="44" t="str">
        <f>MID(紹介文入力シート!$A$28,45,1)</f>
        <v/>
      </c>
      <c r="G25" s="44" t="str">
        <f>MID(紹介文入力シート!$A$28,46,1)</f>
        <v/>
      </c>
      <c r="H25" s="44" t="str">
        <f>MID(紹介文入力シート!$A$28,47,1)</f>
        <v/>
      </c>
      <c r="I25" s="44" t="str">
        <f>MID(紹介文入力シート!$A$28,48,1)</f>
        <v/>
      </c>
      <c r="J25" s="44" t="str">
        <f>MID(紹介文入力シート!$A$28,49,1)</f>
        <v/>
      </c>
      <c r="K25" s="44" t="str">
        <f>MID(紹介文入力シート!$A$28,50,1)</f>
        <v/>
      </c>
      <c r="L25" s="44" t="str">
        <f>MID(紹介文入力シート!$A$28,51,1)</f>
        <v/>
      </c>
      <c r="M25" s="44" t="str">
        <f>MID(紹介文入力シート!$A$28,52,1)</f>
        <v/>
      </c>
      <c r="N25" s="44" t="str">
        <f>MID(紹介文入力シート!$A$28,53,1)</f>
        <v/>
      </c>
      <c r="O25" s="44" t="str">
        <f>MID(紹介文入力シート!$A$28,54,1)</f>
        <v/>
      </c>
      <c r="P25" s="44" t="str">
        <f>MID(紹介文入力シート!$A$28,55,1)</f>
        <v/>
      </c>
      <c r="Q25" s="44" t="str">
        <f>MID(紹介文入力シート!$A$28,56,1)</f>
        <v/>
      </c>
      <c r="R25" s="44" t="str">
        <f>MID(紹介文入力シート!$A$28,57,1)</f>
        <v/>
      </c>
      <c r="S25" s="44" t="str">
        <f>MID(紹介文入力シート!$A$28,58,1)</f>
        <v/>
      </c>
      <c r="T25" s="44" t="str">
        <f>MID(紹介文入力シート!$A$28,59,1)</f>
        <v/>
      </c>
      <c r="U25" s="45" t="str">
        <f>MID(紹介文入力シート!$A$28,60,1)</f>
        <v/>
      </c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2:37" s="50" customFormat="1" ht="11.25" customHeight="1" x14ac:dyDescent="0.15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</row>
    <row r="27" spans="2:37" s="42" customFormat="1" ht="18.75" customHeight="1" x14ac:dyDescent="0.15">
      <c r="B27" s="43" t="str">
        <f>MID(紹介文入力シート!$A$28,61,1)</f>
        <v/>
      </c>
      <c r="C27" s="44" t="str">
        <f>MID(紹介文入力シート!$A$28,62,1)</f>
        <v/>
      </c>
      <c r="D27" s="44" t="str">
        <f>MID(紹介文入力シート!$A$28,63,1)</f>
        <v/>
      </c>
      <c r="E27" s="44" t="str">
        <f>MID(紹介文入力シート!$A$28,64,1)</f>
        <v/>
      </c>
      <c r="F27" s="44" t="str">
        <f>MID(紹介文入力シート!$A$28,65,1)</f>
        <v/>
      </c>
      <c r="G27" s="44" t="str">
        <f>MID(紹介文入力シート!$A$28,66,1)</f>
        <v/>
      </c>
      <c r="H27" s="44" t="str">
        <f>MID(紹介文入力シート!$A$28,67,1)</f>
        <v/>
      </c>
      <c r="I27" s="44" t="str">
        <f>MID(紹介文入力シート!$A$28,68,1)</f>
        <v/>
      </c>
      <c r="J27" s="44" t="str">
        <f>MID(紹介文入力シート!$A$28,69,1)</f>
        <v/>
      </c>
      <c r="K27" s="44" t="str">
        <f>MID(紹介文入力シート!$A$28,70,1)</f>
        <v/>
      </c>
      <c r="L27" s="44" t="str">
        <f>MID(紹介文入力シート!$A$28,71,1)</f>
        <v/>
      </c>
      <c r="M27" s="44" t="str">
        <f>MID(紹介文入力シート!$A$28,72,1)</f>
        <v/>
      </c>
      <c r="N27" s="44" t="str">
        <f>MID(紹介文入力シート!$A$28,73,1)</f>
        <v/>
      </c>
      <c r="O27" s="44" t="str">
        <f>MID(紹介文入力シート!$A$28,74,1)</f>
        <v/>
      </c>
      <c r="P27" s="44" t="str">
        <f>MID(紹介文入力シート!$A$28,75,1)</f>
        <v/>
      </c>
      <c r="Q27" s="44" t="str">
        <f>MID(紹介文入力シート!$A$28,76,1)</f>
        <v/>
      </c>
      <c r="R27" s="44" t="str">
        <f>MID(紹介文入力シート!$A$28,77,1)</f>
        <v/>
      </c>
      <c r="S27" s="44" t="str">
        <f>MID(紹介文入力シート!$A$28,78,1)</f>
        <v/>
      </c>
      <c r="T27" s="44" t="str">
        <f>MID(紹介文入力シート!$A$28,79,1)</f>
        <v/>
      </c>
      <c r="U27" s="45" t="str">
        <f>MID(紹介文入力シート!$A$28,80,1)</f>
        <v/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7" s="50" customFormat="1" ht="11.25" customHeight="1" x14ac:dyDescent="0.15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</row>
    <row r="29" spans="2:37" s="42" customFormat="1" ht="18.75" customHeight="1" x14ac:dyDescent="0.15">
      <c r="B29" s="43" t="str">
        <f>MID(紹介文入力シート!$A$28,81,1)</f>
        <v/>
      </c>
      <c r="C29" s="44" t="str">
        <f>MID(紹介文入力シート!$A$28,82,1)</f>
        <v/>
      </c>
      <c r="D29" s="44" t="str">
        <f>MID(紹介文入力シート!$A$28,83,1)</f>
        <v/>
      </c>
      <c r="E29" s="44" t="str">
        <f>MID(紹介文入力シート!$A$28,84,1)</f>
        <v/>
      </c>
      <c r="F29" s="44" t="str">
        <f>MID(紹介文入力シート!$A$28,85,1)</f>
        <v/>
      </c>
      <c r="G29" s="44" t="str">
        <f>MID(紹介文入力シート!$A$28,86,1)</f>
        <v/>
      </c>
      <c r="H29" s="44" t="str">
        <f>MID(紹介文入力シート!$A$28,87,1)</f>
        <v/>
      </c>
      <c r="I29" s="44" t="str">
        <f>MID(紹介文入力シート!$A$28,88,1)</f>
        <v/>
      </c>
      <c r="J29" s="44" t="str">
        <f>MID(紹介文入力シート!$A$28,89,1)</f>
        <v/>
      </c>
      <c r="K29" s="44" t="str">
        <f>MID(紹介文入力シート!$A$28,90,1)</f>
        <v/>
      </c>
      <c r="L29" s="44" t="str">
        <f>MID(紹介文入力シート!$A$28,91,1)</f>
        <v/>
      </c>
      <c r="M29" s="44" t="str">
        <f>MID(紹介文入力シート!$A$28,92,1)</f>
        <v/>
      </c>
      <c r="N29" s="44" t="str">
        <f>MID(紹介文入力シート!$A$28,93,1)</f>
        <v/>
      </c>
      <c r="O29" s="44" t="str">
        <f>MID(紹介文入力シート!$A$28,94,1)</f>
        <v/>
      </c>
      <c r="P29" s="44" t="str">
        <f>MID(紹介文入力シート!$A$28,95,1)</f>
        <v/>
      </c>
      <c r="Q29" s="44" t="str">
        <f>MID(紹介文入力シート!$A$28,96,1)</f>
        <v/>
      </c>
      <c r="R29" s="44" t="str">
        <f>MID(紹介文入力シート!$A$28,97,1)</f>
        <v/>
      </c>
      <c r="S29" s="44" t="str">
        <f>MID(紹介文入力シート!$A$28,98,1)</f>
        <v/>
      </c>
      <c r="T29" s="44" t="str">
        <f>MID(紹介文入力シート!$A$28,99,1)</f>
        <v/>
      </c>
      <c r="U29" s="45" t="str">
        <f>MID(紹介文入力シート!$A$28,100,1)</f>
        <v/>
      </c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</row>
    <row r="30" spans="2:37" s="50" customFormat="1" ht="11.25" customHeight="1" x14ac:dyDescent="0.15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5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</row>
    <row r="31" spans="2:37" s="46" customFormat="1" ht="18.75" customHeight="1" x14ac:dyDescent="0.15">
      <c r="B31" s="43" t="str">
        <f>MID(紹介文入力シート!$A$28,101,1)</f>
        <v/>
      </c>
      <c r="C31" s="44" t="str">
        <f>MID(紹介文入力シート!$A$28,102,1)</f>
        <v/>
      </c>
      <c r="D31" s="44" t="str">
        <f>MID(紹介文入力シート!$A$28,103,1)</f>
        <v/>
      </c>
      <c r="E31" s="44" t="str">
        <f>MID(紹介文入力シート!$A$28,104,1)</f>
        <v/>
      </c>
      <c r="F31" s="44" t="str">
        <f>MID(紹介文入力シート!$A$28,105,1)</f>
        <v/>
      </c>
      <c r="G31" s="44" t="str">
        <f>MID(紹介文入力シート!$A$28,106,1)</f>
        <v/>
      </c>
      <c r="H31" s="44" t="str">
        <f>MID(紹介文入力シート!$A$28,107,1)</f>
        <v/>
      </c>
      <c r="I31" s="44" t="str">
        <f>MID(紹介文入力シート!$A$28,108,1)</f>
        <v/>
      </c>
      <c r="J31" s="44" t="str">
        <f>MID(紹介文入力シート!$A$28,109,1)</f>
        <v/>
      </c>
      <c r="K31" s="44" t="str">
        <f>MID(紹介文入力シート!$A$28,110,1)</f>
        <v/>
      </c>
      <c r="L31" s="44" t="str">
        <f>MID(紹介文入力シート!$A$28,111,1)</f>
        <v/>
      </c>
      <c r="M31" s="44" t="str">
        <f>MID(紹介文入力シート!$A$28,112,1)</f>
        <v/>
      </c>
      <c r="N31" s="44" t="str">
        <f>MID(紹介文入力シート!$A$28,113,1)</f>
        <v/>
      </c>
      <c r="O31" s="44" t="str">
        <f>MID(紹介文入力シート!$A$28,114,1)</f>
        <v/>
      </c>
      <c r="P31" s="44" t="str">
        <f>MID(紹介文入力シート!$A$28,115,1)</f>
        <v/>
      </c>
      <c r="Q31" s="44" t="str">
        <f>MID(紹介文入力シート!$A$28,116,1)</f>
        <v/>
      </c>
      <c r="R31" s="44" t="str">
        <f>MID(紹介文入力シート!$A$28,117,1)</f>
        <v/>
      </c>
      <c r="S31" s="44" t="str">
        <f>MID(紹介文入力シート!$A$28,118,1)</f>
        <v/>
      </c>
      <c r="T31" s="44" t="str">
        <f>MID(紹介文入力シート!$A$28,119,1)</f>
        <v/>
      </c>
      <c r="U31" s="45" t="str">
        <f>MID(紹介文入力シート!$A$28,120,1)</f>
        <v/>
      </c>
    </row>
    <row r="32" spans="2:37" s="50" customFormat="1" ht="11.25" customHeight="1" x14ac:dyDescent="0.1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</row>
    <row r="33" spans="2:36" s="46" customFormat="1" ht="18.75" customHeight="1" x14ac:dyDescent="0.15">
      <c r="B33" s="43" t="str">
        <f>MID(紹介文入力シート!$A$28,121,1)</f>
        <v/>
      </c>
      <c r="C33" s="44" t="str">
        <f>MID(紹介文入力シート!$A$28,122,1)</f>
        <v/>
      </c>
      <c r="D33" s="44" t="str">
        <f>MID(紹介文入力シート!$A$28,123,1)</f>
        <v/>
      </c>
      <c r="E33" s="44" t="str">
        <f>MID(紹介文入力シート!$A$28,124,1)</f>
        <v/>
      </c>
      <c r="F33" s="44" t="str">
        <f>MID(紹介文入力シート!$A$28,125,1)</f>
        <v/>
      </c>
      <c r="G33" s="44" t="str">
        <f>MID(紹介文入力シート!$A$28,126,1)</f>
        <v/>
      </c>
      <c r="H33" s="44" t="str">
        <f>MID(紹介文入力シート!$A$28,127,1)</f>
        <v/>
      </c>
      <c r="I33" s="44" t="str">
        <f>MID(紹介文入力シート!$A$28,128,1)</f>
        <v/>
      </c>
      <c r="J33" s="44" t="str">
        <f>MID(紹介文入力シート!$A$28,129,1)</f>
        <v/>
      </c>
      <c r="K33" s="44" t="str">
        <f>MID(紹介文入力シート!$A$28,130,1)</f>
        <v/>
      </c>
      <c r="L33" s="44" t="str">
        <f>MID(紹介文入力シート!$A$28,131,1)</f>
        <v/>
      </c>
      <c r="M33" s="44" t="str">
        <f>MID(紹介文入力シート!$A$28,132,1)</f>
        <v/>
      </c>
      <c r="N33" s="44" t="str">
        <f>MID(紹介文入力シート!$A$28,133,1)</f>
        <v/>
      </c>
      <c r="O33" s="44" t="str">
        <f>MID(紹介文入力シート!$A$28,134,1)</f>
        <v/>
      </c>
      <c r="P33" s="44" t="str">
        <f>MID(紹介文入力シート!$A$28,135,1)</f>
        <v/>
      </c>
      <c r="Q33" s="44" t="str">
        <f>MID(紹介文入力シート!$A$28,136,1)</f>
        <v/>
      </c>
      <c r="R33" s="44" t="str">
        <f>MID(紹介文入力シート!$A$28,137,1)</f>
        <v/>
      </c>
      <c r="S33" s="44" t="str">
        <f>MID(紹介文入力シート!$A$28,138,1)</f>
        <v/>
      </c>
      <c r="T33" s="44" t="str">
        <f>MID(紹介文入力シート!$A$28,139,1)</f>
        <v/>
      </c>
      <c r="U33" s="45" t="str">
        <f>MID(紹介文入力シート!$A$28,140,1)</f>
        <v/>
      </c>
    </row>
    <row r="34" spans="2:36" s="50" customFormat="1" ht="11.25" customHeight="1" x14ac:dyDescent="0.1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</row>
    <row r="35" spans="2:36" s="46" customFormat="1" ht="18.75" customHeight="1" x14ac:dyDescent="0.15">
      <c r="B35" s="43" t="str">
        <f>MID(紹介文入力シート!$A$28,141,1)</f>
        <v/>
      </c>
      <c r="C35" s="44" t="str">
        <f>MID(紹介文入力シート!$A$28,142,1)</f>
        <v/>
      </c>
      <c r="D35" s="44" t="str">
        <f>MID(紹介文入力シート!$A$28,143,1)</f>
        <v/>
      </c>
      <c r="E35" s="44" t="str">
        <f>MID(紹介文入力シート!$A$28,144,1)</f>
        <v/>
      </c>
      <c r="F35" s="44" t="str">
        <f>MID(紹介文入力シート!$A$28,145,1)</f>
        <v/>
      </c>
      <c r="G35" s="44" t="str">
        <f>MID(紹介文入力シート!$A$28,146,1)</f>
        <v/>
      </c>
      <c r="H35" s="44" t="str">
        <f>MID(紹介文入力シート!$A$28,147,1)</f>
        <v/>
      </c>
      <c r="I35" s="44" t="str">
        <f>MID(紹介文入力シート!$A$28,148,1)</f>
        <v/>
      </c>
      <c r="J35" s="44" t="str">
        <f>MID(紹介文入力シート!$A$28,149,1)</f>
        <v/>
      </c>
      <c r="K35" s="44" t="str">
        <f>MID(紹介文入力シート!$A$28,150,1)</f>
        <v/>
      </c>
      <c r="L35" s="44" t="str">
        <f>MID(紹介文入力シート!$A$28,151,1)</f>
        <v/>
      </c>
      <c r="M35" s="44" t="str">
        <f>MID(紹介文入力シート!$A$28,152,1)</f>
        <v/>
      </c>
      <c r="N35" s="44" t="str">
        <f>MID(紹介文入力シート!$A$28,153,1)</f>
        <v/>
      </c>
      <c r="O35" s="44" t="str">
        <f>MID(紹介文入力シート!$A$28,154,1)</f>
        <v/>
      </c>
      <c r="P35" s="44" t="str">
        <f>MID(紹介文入力シート!$A$28,155,1)</f>
        <v/>
      </c>
      <c r="Q35" s="44" t="str">
        <f>MID(紹介文入力シート!$A$28,156,1)</f>
        <v/>
      </c>
      <c r="R35" s="44" t="str">
        <f>MID(紹介文入力シート!$A$28,157,1)</f>
        <v/>
      </c>
      <c r="S35" s="44" t="str">
        <f>MID(紹介文入力シート!$A$28,158,1)</f>
        <v/>
      </c>
      <c r="T35" s="44" t="str">
        <f>MID(紹介文入力シート!$A$28,159,1)</f>
        <v/>
      </c>
      <c r="U35" s="45" t="str">
        <f>MID(紹介文入力シート!$A$28,160,1)</f>
        <v/>
      </c>
    </row>
    <row r="36" spans="2:36" s="50" customFormat="1" ht="11.25" customHeight="1" x14ac:dyDescent="0.1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</row>
    <row r="37" spans="2:36" s="46" customFormat="1" ht="18.75" customHeight="1" x14ac:dyDescent="0.15">
      <c r="B37" s="43" t="str">
        <f>MID(紹介文入力シート!$A$28,161,1)</f>
        <v/>
      </c>
      <c r="C37" s="44" t="str">
        <f>MID(紹介文入力シート!$A$28,162,1)</f>
        <v/>
      </c>
      <c r="D37" s="44" t="str">
        <f>MID(紹介文入力シート!$A$28,163,1)</f>
        <v/>
      </c>
      <c r="E37" s="44" t="str">
        <f>MID(紹介文入力シート!$A$28,164,1)</f>
        <v/>
      </c>
      <c r="F37" s="44" t="str">
        <f>MID(紹介文入力シート!$A$28,165,1)</f>
        <v/>
      </c>
      <c r="G37" s="44" t="str">
        <f>MID(紹介文入力シート!$A$28,166,1)</f>
        <v/>
      </c>
      <c r="H37" s="44" t="str">
        <f>MID(紹介文入力シート!$A$28,167,1)</f>
        <v/>
      </c>
      <c r="I37" s="44" t="str">
        <f>MID(紹介文入力シート!$A$28,168,1)</f>
        <v/>
      </c>
      <c r="J37" s="44" t="str">
        <f>MID(紹介文入力シート!$A$28,169,1)</f>
        <v/>
      </c>
      <c r="K37" s="44" t="str">
        <f>MID(紹介文入力シート!$A$28,170,1)</f>
        <v/>
      </c>
      <c r="L37" s="44" t="str">
        <f>MID(紹介文入力シート!$A$28,171,1)</f>
        <v/>
      </c>
      <c r="M37" s="44" t="str">
        <f>MID(紹介文入力シート!$A$28,172,1)</f>
        <v/>
      </c>
      <c r="N37" s="44" t="str">
        <f>MID(紹介文入力シート!$A$28,173,1)</f>
        <v/>
      </c>
      <c r="O37" s="44" t="str">
        <f>MID(紹介文入力シート!$A$28,174,1)</f>
        <v/>
      </c>
      <c r="P37" s="44" t="str">
        <f>MID(紹介文入力シート!$A$28,175,1)</f>
        <v/>
      </c>
      <c r="Q37" s="44" t="str">
        <f>MID(紹介文入力シート!$A$28,176,1)</f>
        <v/>
      </c>
      <c r="R37" s="44" t="str">
        <f>MID(紹介文入力シート!$A$28,177,1)</f>
        <v/>
      </c>
      <c r="S37" s="44" t="str">
        <f>MID(紹介文入力シート!$A$28,178,1)</f>
        <v/>
      </c>
      <c r="T37" s="44" t="str">
        <f>MID(紹介文入力シート!$A$28,179,1)</f>
        <v/>
      </c>
      <c r="U37" s="45" t="str">
        <f>MID(紹介文入力シート!$A$28,180,1)</f>
        <v/>
      </c>
    </row>
    <row r="38" spans="2:36" s="50" customFormat="1" ht="11.25" customHeight="1" x14ac:dyDescent="0.1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</row>
    <row r="39" spans="2:36" s="46" customFormat="1" ht="18.75" customHeight="1" thickBot="1" x14ac:dyDescent="0.2">
      <c r="B39" s="47" t="str">
        <f>MID(紹介文入力シート!$A$28,181,1)</f>
        <v/>
      </c>
      <c r="C39" s="48" t="str">
        <f>MID(紹介文入力シート!$A$28,182,1)</f>
        <v/>
      </c>
      <c r="D39" s="48" t="str">
        <f>MID(紹介文入力シート!$A$28,183,1)</f>
        <v/>
      </c>
      <c r="E39" s="48" t="str">
        <f>MID(紹介文入力シート!$A$28,184,1)</f>
        <v/>
      </c>
      <c r="F39" s="48" t="str">
        <f>MID(紹介文入力シート!$A$28,185,1)</f>
        <v/>
      </c>
      <c r="G39" s="48" t="str">
        <f>MID(紹介文入力シート!$A$28,186,1)</f>
        <v/>
      </c>
      <c r="H39" s="48" t="str">
        <f>MID(紹介文入力シート!$A$28,187,1)</f>
        <v/>
      </c>
      <c r="I39" s="48" t="str">
        <f>MID(紹介文入力シート!$A$28,188,1)</f>
        <v/>
      </c>
      <c r="J39" s="48" t="str">
        <f>MID(紹介文入力シート!$A$28,189,1)</f>
        <v/>
      </c>
      <c r="K39" s="48" t="str">
        <f>MID(紹介文入力シート!$A$28,190,1)</f>
        <v/>
      </c>
      <c r="L39" s="48" t="str">
        <f>MID(紹介文入力シート!$A$28,191,1)</f>
        <v/>
      </c>
      <c r="M39" s="48" t="str">
        <f>MID(紹介文入力シート!$A$28,192,1)</f>
        <v/>
      </c>
      <c r="N39" s="48" t="str">
        <f>MID(紹介文入力シート!$A$28,193,1)</f>
        <v/>
      </c>
      <c r="O39" s="48" t="str">
        <f>MID(紹介文入力シート!$A$28,194,1)</f>
        <v/>
      </c>
      <c r="P39" s="48" t="str">
        <f>MID(紹介文入力シート!$A$28,195,1)</f>
        <v/>
      </c>
      <c r="Q39" s="48" t="str">
        <f>MID(紹介文入力シート!$A$28,196,1)</f>
        <v/>
      </c>
      <c r="R39" s="48" t="str">
        <f>MID(紹介文入力シート!$A$28,197,1)</f>
        <v/>
      </c>
      <c r="S39" s="48" t="str">
        <f>MID(紹介文入力シート!$A$28,198,1)</f>
        <v/>
      </c>
      <c r="T39" s="48" t="str">
        <f>MID(紹介文入力シート!$A$28,199,1)</f>
        <v/>
      </c>
      <c r="U39" s="49" t="str">
        <f>MID(紹介文入力シート!$A$28,200,1)</f>
        <v/>
      </c>
    </row>
    <row r="40" spans="2:36" ht="7.5" customHeight="1" x14ac:dyDescent="0.1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</row>
    <row r="41" spans="2:36" ht="14.25" thickBot="1" x14ac:dyDescent="0.2">
      <c r="B41" s="9" t="s">
        <v>57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2:36" ht="11.25" customHeight="1" x14ac:dyDescent="0.1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2"/>
      <c r="V42" s="51"/>
      <c r="W42" s="52" t="s">
        <v>4</v>
      </c>
    </row>
    <row r="43" spans="2:36" ht="18.75" customHeight="1" x14ac:dyDescent="0.15">
      <c r="B43" s="43" t="str">
        <f>MID(紹介文入力シート!$A$37,1,1)</f>
        <v/>
      </c>
      <c r="C43" s="44" t="str">
        <f>MID(紹介文入力シート!$A$37,2,1)</f>
        <v/>
      </c>
      <c r="D43" s="44" t="str">
        <f>MID(紹介文入力シート!$A$37,3,1)</f>
        <v/>
      </c>
      <c r="E43" s="44" t="str">
        <f>MID(紹介文入力シート!$A$37,4,1)</f>
        <v/>
      </c>
      <c r="F43" s="44" t="str">
        <f>MID(紹介文入力シート!$A$37,5,1)</f>
        <v/>
      </c>
      <c r="G43" s="44" t="str">
        <f>MID(紹介文入力シート!$A$37,6,1)</f>
        <v/>
      </c>
      <c r="H43" s="44" t="str">
        <f>MID(紹介文入力シート!$A$37,7,1)</f>
        <v/>
      </c>
      <c r="I43" s="44" t="str">
        <f>MID(紹介文入力シート!$A$37,8,1)</f>
        <v/>
      </c>
      <c r="J43" s="44" t="str">
        <f>MID(紹介文入力シート!$A$37,9,1)</f>
        <v/>
      </c>
      <c r="K43" s="44" t="str">
        <f>MID(紹介文入力シート!$A$37,10,1)</f>
        <v/>
      </c>
      <c r="L43" s="44" t="str">
        <f>MID(紹介文入力シート!$A$37,11,1)</f>
        <v/>
      </c>
      <c r="M43" s="44" t="str">
        <f>MID(紹介文入力シート!$A$37,12,1)</f>
        <v/>
      </c>
      <c r="N43" s="44" t="str">
        <f>MID(紹介文入力シート!$A$37,13,1)</f>
        <v/>
      </c>
      <c r="O43" s="44" t="str">
        <f>MID(紹介文入力シート!$A$37,14,1)</f>
        <v/>
      </c>
      <c r="P43" s="44" t="str">
        <f>MID(紹介文入力シート!$A$37,15,1)</f>
        <v/>
      </c>
      <c r="Q43" s="44" t="str">
        <f>MID(紹介文入力シート!$A$37,16,1)</f>
        <v/>
      </c>
      <c r="R43" s="44" t="str">
        <f>MID(紹介文入力シート!$A$37,17,1)</f>
        <v/>
      </c>
      <c r="S43" s="44" t="str">
        <f>MID(紹介文入力シート!$A$37,18,1)</f>
        <v/>
      </c>
      <c r="T43" s="44" t="str">
        <f>MID(紹介文入力シート!$A$37,19,1)</f>
        <v/>
      </c>
      <c r="U43" s="45" t="str">
        <f>MID(紹介文入力シート!$A$37,20,1)</f>
        <v/>
      </c>
      <c r="V43" s="46"/>
      <c r="W43" s="46"/>
    </row>
    <row r="44" spans="2:36" ht="11.25" customHeight="1" x14ac:dyDescent="0.1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51"/>
      <c r="W44" s="51"/>
    </row>
    <row r="45" spans="2:36" ht="18.75" customHeight="1" x14ac:dyDescent="0.15">
      <c r="B45" s="43" t="str">
        <f>MID(紹介文入力シート!$A$37,21,1)</f>
        <v/>
      </c>
      <c r="C45" s="44" t="str">
        <f>MID(紹介文入力シート!$A$37,22,1)</f>
        <v/>
      </c>
      <c r="D45" s="44" t="str">
        <f>MID(紹介文入力シート!$A$37,23,1)</f>
        <v/>
      </c>
      <c r="E45" s="44" t="str">
        <f>MID(紹介文入力シート!$A$37,24,1)</f>
        <v/>
      </c>
      <c r="F45" s="44" t="str">
        <f>MID(紹介文入力シート!$A$37,25,1)</f>
        <v/>
      </c>
      <c r="G45" s="44" t="str">
        <f>MID(紹介文入力シート!$A$37,26,1)</f>
        <v/>
      </c>
      <c r="H45" s="44" t="str">
        <f>MID(紹介文入力シート!$A$37,27,1)</f>
        <v/>
      </c>
      <c r="I45" s="44" t="str">
        <f>MID(紹介文入力シート!$A$37,28,1)</f>
        <v/>
      </c>
      <c r="J45" s="44" t="str">
        <f>MID(紹介文入力シート!$A$37,29,1)</f>
        <v/>
      </c>
      <c r="K45" s="44" t="str">
        <f>MID(紹介文入力シート!$A$37,30,1)</f>
        <v/>
      </c>
      <c r="L45" s="44" t="str">
        <f>MID(紹介文入力シート!$A$37,31,1)</f>
        <v/>
      </c>
      <c r="M45" s="44" t="str">
        <f>MID(紹介文入力シート!$A$37,32,1)</f>
        <v/>
      </c>
      <c r="N45" s="44" t="str">
        <f>MID(紹介文入力シート!$A$37,33,1)</f>
        <v/>
      </c>
      <c r="O45" s="44" t="str">
        <f>MID(紹介文入力シート!$A$37,34,1)</f>
        <v/>
      </c>
      <c r="P45" s="44" t="str">
        <f>MID(紹介文入力シート!$A$37,35,1)</f>
        <v/>
      </c>
      <c r="Q45" s="44" t="str">
        <f>MID(紹介文入力シート!$A$37,36,1)</f>
        <v/>
      </c>
      <c r="R45" s="44" t="str">
        <f>MID(紹介文入力シート!$A$37,37,1)</f>
        <v/>
      </c>
      <c r="S45" s="44" t="str">
        <f>MID(紹介文入力シート!$A$37,38,1)</f>
        <v/>
      </c>
      <c r="T45" s="44" t="str">
        <f>MID(紹介文入力シート!$A$37,39,1)</f>
        <v/>
      </c>
      <c r="U45" s="45" t="str">
        <f>MID(紹介文入力シート!$A$37,40,1)</f>
        <v/>
      </c>
      <c r="V45" s="46"/>
      <c r="W45" s="46"/>
    </row>
    <row r="46" spans="2:36" ht="11.25" customHeight="1" x14ac:dyDescent="0.15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5"/>
      <c r="V46" s="51"/>
      <c r="W46" s="51"/>
    </row>
    <row r="47" spans="2:36" ht="18.75" customHeight="1" x14ac:dyDescent="0.15">
      <c r="B47" s="43" t="str">
        <f>MID(紹介文入力シート!$A$37,41,1)</f>
        <v/>
      </c>
      <c r="C47" s="44" t="str">
        <f>MID(紹介文入力シート!$A$37,42,1)</f>
        <v/>
      </c>
      <c r="D47" s="44" t="str">
        <f>MID(紹介文入力シート!$A$37,43,1)</f>
        <v/>
      </c>
      <c r="E47" s="44" t="str">
        <f>MID(紹介文入力シート!$A$37,44,1)</f>
        <v/>
      </c>
      <c r="F47" s="44" t="str">
        <f>MID(紹介文入力シート!$A$37,45,1)</f>
        <v/>
      </c>
      <c r="G47" s="44" t="str">
        <f>MID(紹介文入力シート!$A$37,46,1)</f>
        <v/>
      </c>
      <c r="H47" s="44" t="str">
        <f>MID(紹介文入力シート!$A$37,47,1)</f>
        <v/>
      </c>
      <c r="I47" s="44" t="str">
        <f>MID(紹介文入力シート!$A$37,48,1)</f>
        <v/>
      </c>
      <c r="J47" s="44" t="str">
        <f>MID(紹介文入力シート!$A$37,49,1)</f>
        <v/>
      </c>
      <c r="K47" s="44" t="str">
        <f>MID(紹介文入力シート!$A$37,50,1)</f>
        <v/>
      </c>
      <c r="L47" s="44" t="str">
        <f>MID(紹介文入力シート!$A$37,51,1)</f>
        <v/>
      </c>
      <c r="M47" s="44" t="str">
        <f>MID(紹介文入力シート!$A$37,52,1)</f>
        <v/>
      </c>
      <c r="N47" s="44" t="str">
        <f>MID(紹介文入力シート!$A$37,53,1)</f>
        <v/>
      </c>
      <c r="O47" s="44" t="str">
        <f>MID(紹介文入力シート!$A$37,54,1)</f>
        <v/>
      </c>
      <c r="P47" s="44" t="str">
        <f>MID(紹介文入力シート!$A$37,55,1)</f>
        <v/>
      </c>
      <c r="Q47" s="44" t="str">
        <f>MID(紹介文入力シート!$A$37,56,1)</f>
        <v/>
      </c>
      <c r="R47" s="44" t="str">
        <f>MID(紹介文入力シート!$A$37,57,1)</f>
        <v/>
      </c>
      <c r="S47" s="44" t="str">
        <f>MID(紹介文入力シート!$A$37,58,1)</f>
        <v/>
      </c>
      <c r="T47" s="44" t="str">
        <f>MID(紹介文入力シート!$A$37,59,1)</f>
        <v/>
      </c>
      <c r="U47" s="45" t="str">
        <f>MID(紹介文入力シート!$A$37,60,1)</f>
        <v/>
      </c>
      <c r="V47" s="46"/>
      <c r="W47" s="46"/>
    </row>
    <row r="48" spans="2:36" ht="11.25" customHeight="1" x14ac:dyDescent="0.15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5"/>
      <c r="V48" s="51"/>
      <c r="W48" s="51"/>
    </row>
    <row r="49" spans="2:23" ht="18.75" customHeight="1" x14ac:dyDescent="0.15">
      <c r="B49" s="43" t="str">
        <f>MID(紹介文入力シート!$A$37,61,1)</f>
        <v/>
      </c>
      <c r="C49" s="44" t="str">
        <f>MID(紹介文入力シート!$A$37,62,1)</f>
        <v/>
      </c>
      <c r="D49" s="44" t="str">
        <f>MID(紹介文入力シート!$A$37,63,1)</f>
        <v/>
      </c>
      <c r="E49" s="44" t="str">
        <f>MID(紹介文入力シート!$A$37,64,1)</f>
        <v/>
      </c>
      <c r="F49" s="44" t="str">
        <f>MID(紹介文入力シート!$A$37,65,1)</f>
        <v/>
      </c>
      <c r="G49" s="44" t="str">
        <f>MID(紹介文入力シート!$A$37,66,1)</f>
        <v/>
      </c>
      <c r="H49" s="44" t="str">
        <f>MID(紹介文入力シート!$A$37,67,1)</f>
        <v/>
      </c>
      <c r="I49" s="44" t="str">
        <f>MID(紹介文入力シート!$A$37,68,1)</f>
        <v/>
      </c>
      <c r="J49" s="44" t="str">
        <f>MID(紹介文入力シート!$A$37,69,1)</f>
        <v/>
      </c>
      <c r="K49" s="44" t="str">
        <f>MID(紹介文入力シート!$A$37,70,1)</f>
        <v/>
      </c>
      <c r="L49" s="44" t="str">
        <f>MID(紹介文入力シート!$A$37,71,1)</f>
        <v/>
      </c>
      <c r="M49" s="44" t="str">
        <f>MID(紹介文入力シート!$A$37,72,1)</f>
        <v/>
      </c>
      <c r="N49" s="44" t="str">
        <f>MID(紹介文入力シート!$A$37,73,1)</f>
        <v/>
      </c>
      <c r="O49" s="44" t="str">
        <f>MID(紹介文入力シート!$A$37,74,1)</f>
        <v/>
      </c>
      <c r="P49" s="44" t="str">
        <f>MID(紹介文入力シート!$A$37,75,1)</f>
        <v/>
      </c>
      <c r="Q49" s="44" t="str">
        <f>MID(紹介文入力シート!$A$37,76,1)</f>
        <v/>
      </c>
      <c r="R49" s="44" t="str">
        <f>MID(紹介文入力シート!$A$37,77,1)</f>
        <v/>
      </c>
      <c r="S49" s="44" t="str">
        <f>MID(紹介文入力シート!$A$37,78,1)</f>
        <v/>
      </c>
      <c r="T49" s="44" t="str">
        <f>MID(紹介文入力シート!$A$37,79,1)</f>
        <v/>
      </c>
      <c r="U49" s="45" t="str">
        <f>MID(紹介文入力シート!$A$37,80,1)</f>
        <v/>
      </c>
      <c r="V49" s="46"/>
      <c r="W49" s="46"/>
    </row>
    <row r="50" spans="2:23" ht="11.25" customHeight="1" x14ac:dyDescent="0.15"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51"/>
      <c r="W50" s="51"/>
    </row>
    <row r="51" spans="2:23" ht="18.75" customHeight="1" x14ac:dyDescent="0.15">
      <c r="B51" s="43" t="str">
        <f>MID(紹介文入力シート!$A$37,81,1)</f>
        <v/>
      </c>
      <c r="C51" s="44" t="str">
        <f>MID(紹介文入力シート!$A$37,82,1)</f>
        <v/>
      </c>
      <c r="D51" s="44" t="str">
        <f>MID(紹介文入力シート!$A$37,83,1)</f>
        <v/>
      </c>
      <c r="E51" s="44" t="str">
        <f>MID(紹介文入力シート!$A$37,84,1)</f>
        <v/>
      </c>
      <c r="F51" s="44" t="str">
        <f>MID(紹介文入力シート!$A$37,85,1)</f>
        <v/>
      </c>
      <c r="G51" s="44" t="str">
        <f>MID(紹介文入力シート!$A$37,86,1)</f>
        <v/>
      </c>
      <c r="H51" s="44" t="str">
        <f>MID(紹介文入力シート!$A$37,87,1)</f>
        <v/>
      </c>
      <c r="I51" s="44" t="str">
        <f>MID(紹介文入力シート!$A$37,88,1)</f>
        <v/>
      </c>
      <c r="J51" s="44" t="str">
        <f>MID(紹介文入力シート!$A$37,89,1)</f>
        <v/>
      </c>
      <c r="K51" s="44" t="str">
        <f>MID(紹介文入力シート!$A$37,90,1)</f>
        <v/>
      </c>
      <c r="L51" s="44" t="str">
        <f>MID(紹介文入力シート!$A$37,91,1)</f>
        <v/>
      </c>
      <c r="M51" s="44" t="str">
        <f>MID(紹介文入力シート!$A$37,92,1)</f>
        <v/>
      </c>
      <c r="N51" s="44" t="str">
        <f>MID(紹介文入力シート!$A$37,93,1)</f>
        <v/>
      </c>
      <c r="O51" s="44" t="str">
        <f>MID(紹介文入力シート!$A$37,94,1)</f>
        <v/>
      </c>
      <c r="P51" s="44" t="str">
        <f>MID(紹介文入力シート!$A$37,95,1)</f>
        <v/>
      </c>
      <c r="Q51" s="44" t="str">
        <f>MID(紹介文入力シート!$A$37,96,1)</f>
        <v/>
      </c>
      <c r="R51" s="44" t="str">
        <f>MID(紹介文入力シート!$A$37,97,1)</f>
        <v/>
      </c>
      <c r="S51" s="44" t="str">
        <f>MID(紹介文入力シート!$A$37,98,1)</f>
        <v/>
      </c>
      <c r="T51" s="44" t="str">
        <f>MID(紹介文入力シート!$A$37,99,1)</f>
        <v/>
      </c>
      <c r="U51" s="45" t="str">
        <f>MID(紹介文入力シート!$A$37,100,1)</f>
        <v/>
      </c>
      <c r="V51" s="46"/>
      <c r="W51" s="46"/>
    </row>
    <row r="52" spans="2:23" ht="11.25" customHeight="1" x14ac:dyDescent="0.15"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5"/>
      <c r="V52" s="51"/>
      <c r="W52" s="51"/>
    </row>
    <row r="53" spans="2:23" ht="18.75" customHeight="1" x14ac:dyDescent="0.15">
      <c r="B53" s="43" t="str">
        <f>MID(紹介文入力シート!$A$37,101,1)</f>
        <v/>
      </c>
      <c r="C53" s="44" t="str">
        <f>MID(紹介文入力シート!$A$37,102,1)</f>
        <v/>
      </c>
      <c r="D53" s="44" t="str">
        <f>MID(紹介文入力シート!$A$37,103,1)</f>
        <v/>
      </c>
      <c r="E53" s="44" t="str">
        <f>MID(紹介文入力シート!$A$37,104,1)</f>
        <v/>
      </c>
      <c r="F53" s="44" t="str">
        <f>MID(紹介文入力シート!$A$37,105,1)</f>
        <v/>
      </c>
      <c r="G53" s="44" t="str">
        <f>MID(紹介文入力シート!$A$37,106,1)</f>
        <v/>
      </c>
      <c r="H53" s="44" t="str">
        <f>MID(紹介文入力シート!$A$37,107,1)</f>
        <v/>
      </c>
      <c r="I53" s="44" t="str">
        <f>MID(紹介文入力シート!$A$37,108,1)</f>
        <v/>
      </c>
      <c r="J53" s="44" t="str">
        <f>MID(紹介文入力シート!$A$37,109,1)</f>
        <v/>
      </c>
      <c r="K53" s="44" t="str">
        <f>MID(紹介文入力シート!$A$37,110,1)</f>
        <v/>
      </c>
      <c r="L53" s="44" t="str">
        <f>MID(紹介文入力シート!$A$37,111,1)</f>
        <v/>
      </c>
      <c r="M53" s="44" t="str">
        <f>MID(紹介文入力シート!$A$37,112,1)</f>
        <v/>
      </c>
      <c r="N53" s="44" t="str">
        <f>MID(紹介文入力シート!$A$37,113,1)</f>
        <v/>
      </c>
      <c r="O53" s="44" t="str">
        <f>MID(紹介文入力シート!$A$37,114,1)</f>
        <v/>
      </c>
      <c r="P53" s="44" t="str">
        <f>MID(紹介文入力シート!$A$37,115,1)</f>
        <v/>
      </c>
      <c r="Q53" s="44" t="str">
        <f>MID(紹介文入力シート!$A$37,116,1)</f>
        <v/>
      </c>
      <c r="R53" s="44" t="str">
        <f>MID(紹介文入力シート!$A$37,117,1)</f>
        <v/>
      </c>
      <c r="S53" s="44" t="str">
        <f>MID(紹介文入力シート!$A$37,118,1)</f>
        <v/>
      </c>
      <c r="T53" s="44" t="str">
        <f>MID(紹介文入力シート!$A$37,119,1)</f>
        <v/>
      </c>
      <c r="U53" s="45" t="str">
        <f>MID(紹介文入力シート!$A$37,120,1)</f>
        <v/>
      </c>
      <c r="V53" s="46"/>
      <c r="W53" s="46"/>
    </row>
    <row r="54" spans="2:23" ht="11.25" customHeight="1" x14ac:dyDescent="0.15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5"/>
      <c r="V54" s="51"/>
      <c r="W54" s="51"/>
    </row>
    <row r="55" spans="2:23" ht="18.75" customHeight="1" x14ac:dyDescent="0.15">
      <c r="B55" s="43" t="str">
        <f>MID(紹介文入力シート!$A$37,121,1)</f>
        <v/>
      </c>
      <c r="C55" s="44" t="str">
        <f>MID(紹介文入力シート!$A$37,122,1)</f>
        <v/>
      </c>
      <c r="D55" s="44" t="str">
        <f>MID(紹介文入力シート!$A$37,123,1)</f>
        <v/>
      </c>
      <c r="E55" s="44" t="str">
        <f>MID(紹介文入力シート!$A$37,124,1)</f>
        <v/>
      </c>
      <c r="F55" s="44" t="str">
        <f>MID(紹介文入力シート!$A$37,125,1)</f>
        <v/>
      </c>
      <c r="G55" s="44" t="str">
        <f>MID(紹介文入力シート!$A$37,126,1)</f>
        <v/>
      </c>
      <c r="H55" s="44" t="str">
        <f>MID(紹介文入力シート!$A$37,127,1)</f>
        <v/>
      </c>
      <c r="I55" s="44" t="str">
        <f>MID(紹介文入力シート!$A$37,128,1)</f>
        <v/>
      </c>
      <c r="J55" s="44" t="str">
        <f>MID(紹介文入力シート!$A$37,129,1)</f>
        <v/>
      </c>
      <c r="K55" s="44" t="str">
        <f>MID(紹介文入力シート!$A$37,130,1)</f>
        <v/>
      </c>
      <c r="L55" s="44" t="str">
        <f>MID(紹介文入力シート!$A$37,131,1)</f>
        <v/>
      </c>
      <c r="M55" s="44" t="str">
        <f>MID(紹介文入力シート!$A$37,132,1)</f>
        <v/>
      </c>
      <c r="N55" s="44" t="str">
        <f>MID(紹介文入力シート!$A$37,133,1)</f>
        <v/>
      </c>
      <c r="O55" s="44" t="str">
        <f>MID(紹介文入力シート!$A$37,134,1)</f>
        <v/>
      </c>
      <c r="P55" s="44" t="str">
        <f>MID(紹介文入力シート!$A$37,135,1)</f>
        <v/>
      </c>
      <c r="Q55" s="44" t="str">
        <f>MID(紹介文入力シート!$A$37,136,1)</f>
        <v/>
      </c>
      <c r="R55" s="44" t="str">
        <f>MID(紹介文入力シート!$A$37,137,1)</f>
        <v/>
      </c>
      <c r="S55" s="44" t="str">
        <f>MID(紹介文入力シート!$A$37,138,1)</f>
        <v/>
      </c>
      <c r="T55" s="44" t="str">
        <f>MID(紹介文入力シート!$A$37,139,1)</f>
        <v/>
      </c>
      <c r="U55" s="45" t="str">
        <f>MID(紹介文入力シート!$A$37,140,1)</f>
        <v/>
      </c>
      <c r="V55" s="46"/>
      <c r="W55" s="46"/>
    </row>
    <row r="56" spans="2:23" ht="11.25" customHeight="1" x14ac:dyDescent="0.15"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5"/>
      <c r="V56" s="51"/>
      <c r="W56" s="51"/>
    </row>
    <row r="57" spans="2:23" ht="18.75" customHeight="1" x14ac:dyDescent="0.15">
      <c r="B57" s="43" t="str">
        <f>MID(紹介文入力シート!$A$37,141,1)</f>
        <v/>
      </c>
      <c r="C57" s="44" t="str">
        <f>MID(紹介文入力シート!$A$37,142,1)</f>
        <v/>
      </c>
      <c r="D57" s="44" t="str">
        <f>MID(紹介文入力シート!$A$37,143,1)</f>
        <v/>
      </c>
      <c r="E57" s="44" t="str">
        <f>MID(紹介文入力シート!$A$37,144,1)</f>
        <v/>
      </c>
      <c r="F57" s="44" t="str">
        <f>MID(紹介文入力シート!$A$37,145,1)</f>
        <v/>
      </c>
      <c r="G57" s="44" t="str">
        <f>MID(紹介文入力シート!$A$37,146,1)</f>
        <v/>
      </c>
      <c r="H57" s="44" t="str">
        <f>MID(紹介文入力シート!$A$37,147,1)</f>
        <v/>
      </c>
      <c r="I57" s="44" t="str">
        <f>MID(紹介文入力シート!$A$37,148,1)</f>
        <v/>
      </c>
      <c r="J57" s="44" t="str">
        <f>MID(紹介文入力シート!$A$37,149,1)</f>
        <v/>
      </c>
      <c r="K57" s="44" t="str">
        <f>MID(紹介文入力シート!$A$37,150,1)</f>
        <v/>
      </c>
      <c r="L57" s="44" t="str">
        <f>MID(紹介文入力シート!$A$37,151,1)</f>
        <v/>
      </c>
      <c r="M57" s="44" t="str">
        <f>MID(紹介文入力シート!$A$37,152,1)</f>
        <v/>
      </c>
      <c r="N57" s="44" t="str">
        <f>MID(紹介文入力シート!$A$37,153,1)</f>
        <v/>
      </c>
      <c r="O57" s="44" t="str">
        <f>MID(紹介文入力シート!$A$37,154,1)</f>
        <v/>
      </c>
      <c r="P57" s="44" t="str">
        <f>MID(紹介文入力シート!$A$37,155,1)</f>
        <v/>
      </c>
      <c r="Q57" s="44" t="str">
        <f>MID(紹介文入力シート!$A$37,156,1)</f>
        <v/>
      </c>
      <c r="R57" s="44" t="str">
        <f>MID(紹介文入力シート!$A$37,157,1)</f>
        <v/>
      </c>
      <c r="S57" s="44" t="str">
        <f>MID(紹介文入力シート!$A$37,158,1)</f>
        <v/>
      </c>
      <c r="T57" s="44" t="str">
        <f>MID(紹介文入力シート!$A$37,159,1)</f>
        <v/>
      </c>
      <c r="U57" s="45" t="str">
        <f>MID(紹介文入力シート!$A$37,160,1)</f>
        <v/>
      </c>
      <c r="V57" s="46"/>
      <c r="W57" s="46"/>
    </row>
    <row r="58" spans="2:23" ht="11.25" customHeight="1" x14ac:dyDescent="0.15">
      <c r="B58" s="1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5"/>
      <c r="V58" s="51"/>
      <c r="W58" s="51"/>
    </row>
    <row r="59" spans="2:23" ht="18.75" customHeight="1" x14ac:dyDescent="0.15">
      <c r="B59" s="43" t="str">
        <f>MID(紹介文入力シート!$A$37,161,1)</f>
        <v/>
      </c>
      <c r="C59" s="44" t="str">
        <f>MID(紹介文入力シート!$A$37,162,1)</f>
        <v/>
      </c>
      <c r="D59" s="44" t="str">
        <f>MID(紹介文入力シート!$A$37,163,1)</f>
        <v/>
      </c>
      <c r="E59" s="44" t="str">
        <f>MID(紹介文入力シート!$A$37,164,1)</f>
        <v/>
      </c>
      <c r="F59" s="44" t="str">
        <f>MID(紹介文入力シート!$A$37,165,1)</f>
        <v/>
      </c>
      <c r="G59" s="44" t="str">
        <f>MID(紹介文入力シート!$A$37,166,1)</f>
        <v/>
      </c>
      <c r="H59" s="44" t="str">
        <f>MID(紹介文入力シート!$A$37,167,1)</f>
        <v/>
      </c>
      <c r="I59" s="44" t="str">
        <f>MID(紹介文入力シート!$A$37,168,1)</f>
        <v/>
      </c>
      <c r="J59" s="44" t="str">
        <f>MID(紹介文入力シート!$A$37,169,1)</f>
        <v/>
      </c>
      <c r="K59" s="44" t="str">
        <f>MID(紹介文入力シート!$A$37,170,1)</f>
        <v/>
      </c>
      <c r="L59" s="44" t="str">
        <f>MID(紹介文入力シート!$A$37,171,1)</f>
        <v/>
      </c>
      <c r="M59" s="44" t="str">
        <f>MID(紹介文入力シート!$A$37,172,1)</f>
        <v/>
      </c>
      <c r="N59" s="44" t="str">
        <f>MID(紹介文入力シート!$A$37,173,1)</f>
        <v/>
      </c>
      <c r="O59" s="44" t="str">
        <f>MID(紹介文入力シート!$A$37,174,1)</f>
        <v/>
      </c>
      <c r="P59" s="44" t="str">
        <f>MID(紹介文入力シート!$A$37,175,1)</f>
        <v/>
      </c>
      <c r="Q59" s="44" t="str">
        <f>MID(紹介文入力シート!$A$37,176,1)</f>
        <v/>
      </c>
      <c r="R59" s="44" t="str">
        <f>MID(紹介文入力シート!$A$37,177,1)</f>
        <v/>
      </c>
      <c r="S59" s="44" t="str">
        <f>MID(紹介文入力シート!$A$37,178,1)</f>
        <v/>
      </c>
      <c r="T59" s="44" t="str">
        <f>MID(紹介文入力シート!$A$37,179,1)</f>
        <v/>
      </c>
      <c r="U59" s="45" t="str">
        <f>MID(紹介文入力シート!$A$37,180,1)</f>
        <v/>
      </c>
      <c r="V59" s="46"/>
      <c r="W59" s="46"/>
    </row>
    <row r="60" spans="2:23" ht="11.25" customHeight="1" x14ac:dyDescent="0.15"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/>
      <c r="V60" s="51"/>
      <c r="W60" s="51"/>
    </row>
    <row r="61" spans="2:23" ht="18.75" customHeight="1" thickBot="1" x14ac:dyDescent="0.2">
      <c r="B61" s="47" t="str">
        <f>MID(紹介文入力シート!$A$37,181,1)</f>
        <v/>
      </c>
      <c r="C61" s="48" t="str">
        <f>MID(紹介文入力シート!$A$37,182,1)</f>
        <v/>
      </c>
      <c r="D61" s="48" t="str">
        <f>MID(紹介文入力シート!$A$37,183,1)</f>
        <v/>
      </c>
      <c r="E61" s="48" t="str">
        <f>MID(紹介文入力シート!$A$37,184,1)</f>
        <v/>
      </c>
      <c r="F61" s="48" t="str">
        <f>MID(紹介文入力シート!$A$37,185,1)</f>
        <v/>
      </c>
      <c r="G61" s="48" t="str">
        <f>MID(紹介文入力シート!$A$37,186,1)</f>
        <v/>
      </c>
      <c r="H61" s="48" t="str">
        <f>MID(紹介文入力シート!$A$37,187,1)</f>
        <v/>
      </c>
      <c r="I61" s="48" t="str">
        <f>MID(紹介文入力シート!$A$37,188,1)</f>
        <v/>
      </c>
      <c r="J61" s="48" t="str">
        <f>MID(紹介文入力シート!$A$37,189,1)</f>
        <v/>
      </c>
      <c r="K61" s="48" t="str">
        <f>MID(紹介文入力シート!$A$37,190,1)</f>
        <v/>
      </c>
      <c r="L61" s="48" t="str">
        <f>MID(紹介文入力シート!$A$37,191,1)</f>
        <v/>
      </c>
      <c r="M61" s="48" t="str">
        <f>MID(紹介文入力シート!$A$37,192,1)</f>
        <v/>
      </c>
      <c r="N61" s="48" t="str">
        <f>MID(紹介文入力シート!$A$37,193,1)</f>
        <v/>
      </c>
      <c r="O61" s="48" t="str">
        <f>MID(紹介文入力シート!$A$37,194,1)</f>
        <v/>
      </c>
      <c r="P61" s="48" t="str">
        <f>MID(紹介文入力シート!$A$37,195,1)</f>
        <v/>
      </c>
      <c r="Q61" s="48" t="str">
        <f>MID(紹介文入力シート!$A$37,196,1)</f>
        <v/>
      </c>
      <c r="R61" s="48" t="str">
        <f>MID(紹介文入力シート!$A$37,197,1)</f>
        <v/>
      </c>
      <c r="S61" s="48" t="str">
        <f>MID(紹介文入力シート!$A$37,198,1)</f>
        <v/>
      </c>
      <c r="T61" s="48" t="str">
        <f>MID(紹介文入力シート!$A$37,199,1)</f>
        <v/>
      </c>
      <c r="U61" s="49" t="str">
        <f>MID(紹介文入力シート!$A$37,200,1)</f>
        <v/>
      </c>
      <c r="V61" s="46"/>
      <c r="W61" s="46"/>
    </row>
  </sheetData>
  <mergeCells count="39">
    <mergeCell ref="B15:C15"/>
    <mergeCell ref="B16:C17"/>
    <mergeCell ref="T16:T17"/>
    <mergeCell ref="S16:S17"/>
    <mergeCell ref="R16:R17"/>
    <mergeCell ref="Q16:Q17"/>
    <mergeCell ref="D16:P17"/>
    <mergeCell ref="D15:P15"/>
    <mergeCell ref="Q15:T15"/>
    <mergeCell ref="B2:U2"/>
    <mergeCell ref="B3:U3"/>
    <mergeCell ref="P5:Q5"/>
    <mergeCell ref="M5:O5"/>
    <mergeCell ref="K5:L5"/>
    <mergeCell ref="B13:C14"/>
    <mergeCell ref="D14:E14"/>
    <mergeCell ref="F14:T14"/>
    <mergeCell ref="B6:C6"/>
    <mergeCell ref="R5:T5"/>
    <mergeCell ref="B7:C7"/>
    <mergeCell ref="L6:M7"/>
    <mergeCell ref="D6:K6"/>
    <mergeCell ref="D7:K7"/>
    <mergeCell ref="N6:T7"/>
    <mergeCell ref="B5:C5"/>
    <mergeCell ref="D5:F5"/>
    <mergeCell ref="D13:K13"/>
    <mergeCell ref="L13:T13"/>
    <mergeCell ref="H9:T9"/>
    <mergeCell ref="L11:T11"/>
    <mergeCell ref="B12:C12"/>
    <mergeCell ref="B8:C8"/>
    <mergeCell ref="B9:C11"/>
    <mergeCell ref="L12:T12"/>
    <mergeCell ref="D12:K12"/>
    <mergeCell ref="D8:T8"/>
    <mergeCell ref="D9:G9"/>
    <mergeCell ref="D10:T10"/>
    <mergeCell ref="D11:K11"/>
  </mergeCells>
  <phoneticPr fontId="1"/>
  <conditionalFormatting sqref="D14">
    <cfRule type="cellIs" dxfId="1" priority="2" stopIfTrue="1" operator="equal">
      <formula>""</formula>
    </cfRule>
  </conditionalFormatting>
  <conditionalFormatting sqref="M5:O5 D6:K7 D8:T8 D10:T10 D12:K13 F14:T14 D15:P15 D16:Q17 S16:S17">
    <cfRule type="cellIs" dxfId="0" priority="1" operator="equal">
      <formula>0</formula>
    </cfRule>
  </conditionalFormatting>
  <dataValidations count="1">
    <dataValidation operator="greaterThanOrEqual" showInputMessage="1" showErrorMessage="1" errorTitle="半角で入力ください" error="半角で入力してください" promptTitle="半角で入力ください" sqref="H9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紹介文入力シート</vt:lpstr>
      <vt:lpstr>印字シート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大阪府運営委員会</dc:creator>
  <cp:lastModifiedBy>大阪府</cp:lastModifiedBy>
  <cp:lastPrinted>2017-04-27T04:27:10Z</cp:lastPrinted>
  <dcterms:created xsi:type="dcterms:W3CDTF">2009-12-06T00:44:31Z</dcterms:created>
  <dcterms:modified xsi:type="dcterms:W3CDTF">2017-04-27T05:26:55Z</dcterms:modified>
</cp:coreProperties>
</file>